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65" yWindow="-30" windowWidth="19020" windowHeight="7710"/>
  </bookViews>
  <sheets>
    <sheet name="Iäkkäiden kulj.palv.säästöt" sheetId="1" r:id="rId1"/>
    <sheet name="Muut säästöt" sheetId="2" r:id="rId2"/>
    <sheet name="lisämenot" sheetId="3" r:id="rId3"/>
  </sheets>
  <definedNames>
    <definedName name="_xlnm.Print_Titles" localSheetId="1">'Muut säästöt'!$1:$1</definedName>
  </definedNames>
  <calcPr calcId="145621"/>
</workbook>
</file>

<file path=xl/calcChain.xml><?xml version="1.0" encoding="utf-8"?>
<calcChain xmlns="http://schemas.openxmlformats.org/spreadsheetml/2006/main">
  <c r="B5" i="1" l="1"/>
  <c r="B62" i="2" l="1"/>
  <c r="B9" i="2"/>
  <c r="B8" i="2"/>
  <c r="B13" i="2"/>
  <c r="C36" i="1"/>
  <c r="D36" i="1"/>
  <c r="B36" i="1"/>
  <c r="C44" i="3" l="1"/>
  <c r="B32" i="2" l="1"/>
  <c r="C20" i="1" l="1"/>
  <c r="D20" i="1"/>
  <c r="B20" i="1"/>
  <c r="B31" i="2" l="1"/>
  <c r="C5" i="3" l="1"/>
  <c r="B60" i="2" l="1"/>
  <c r="B47" i="2" l="1"/>
  <c r="B51" i="2"/>
  <c r="B44" i="2"/>
  <c r="B52" i="2" l="1"/>
  <c r="B48" i="2"/>
  <c r="B40" i="2" l="1"/>
  <c r="B37" i="2"/>
  <c r="B64" i="2"/>
  <c r="B71" i="2" s="1"/>
  <c r="B41" i="2" l="1"/>
  <c r="C22" i="3" l="1"/>
  <c r="B28" i="2" l="1"/>
  <c r="B25" i="2"/>
  <c r="C23" i="3" l="1"/>
  <c r="C29" i="3"/>
  <c r="C68" i="3"/>
  <c r="C69" i="3" s="1"/>
  <c r="B46" i="3" l="1"/>
  <c r="C46" i="3"/>
  <c r="B72" i="2" l="1"/>
  <c r="C13" i="3" l="1"/>
  <c r="C38" i="3" l="1"/>
  <c r="C40" i="3"/>
  <c r="B33" i="2" l="1"/>
  <c r="B10" i="2" l="1"/>
  <c r="B29" i="2" l="1"/>
  <c r="C26" i="3"/>
  <c r="C20" i="3"/>
  <c r="C19" i="3"/>
  <c r="C12" i="3"/>
  <c r="C21" i="3" l="1"/>
  <c r="B106" i="3"/>
  <c r="B100" i="3"/>
  <c r="B96" i="3"/>
  <c r="B88" i="3"/>
  <c r="B87" i="3"/>
  <c r="B78" i="3"/>
  <c r="B76" i="3"/>
  <c r="B77" i="3" s="1"/>
  <c r="B73" i="3"/>
  <c r="B69" i="3"/>
  <c r="B53" i="3"/>
  <c r="B54" i="3" s="1"/>
  <c r="C28" i="3" l="1"/>
  <c r="C30" i="3" s="1"/>
  <c r="C25" i="3"/>
  <c r="C27" i="3" s="1"/>
  <c r="C15" i="3"/>
  <c r="C16" i="3"/>
  <c r="C9" i="3"/>
  <c r="C10" i="3"/>
  <c r="C14" i="3"/>
  <c r="C24" i="3"/>
  <c r="C11" i="3" l="1"/>
  <c r="C17" i="3"/>
  <c r="C48" i="3" l="1"/>
  <c r="B22" i="2"/>
  <c r="B20" i="2"/>
  <c r="B23" i="2" l="1"/>
  <c r="C47" i="1" l="1"/>
  <c r="B47" i="1"/>
  <c r="B14" i="2" l="1"/>
  <c r="B53" i="2" l="1"/>
  <c r="B49" i="2"/>
  <c r="B55" i="2" l="1"/>
  <c r="B69" i="2" l="1"/>
  <c r="B70" i="2" s="1"/>
  <c r="C6" i="1"/>
  <c r="B6" i="1"/>
  <c r="D47" i="1"/>
  <c r="C5" i="1"/>
  <c r="B24" i="1" l="1"/>
  <c r="C19" i="1"/>
  <c r="C28" i="1" s="1"/>
  <c r="C29" i="1" s="1"/>
  <c r="C24" i="1"/>
  <c r="B19" i="1"/>
  <c r="B28" i="1" s="1"/>
  <c r="B29" i="1" s="1"/>
  <c r="B25" i="1"/>
  <c r="D5" i="1"/>
  <c r="C32" i="1" l="1"/>
  <c r="B21" i="1"/>
  <c r="C21" i="1"/>
  <c r="C25" i="1"/>
  <c r="B32" i="1"/>
  <c r="D19" i="1"/>
  <c r="D28" i="1" s="1"/>
  <c r="D29" i="1" s="1"/>
  <c r="D24" i="1"/>
  <c r="D21" i="1" l="1"/>
  <c r="B48" i="1"/>
  <c r="B49" i="1" s="1"/>
  <c r="C37" i="1"/>
  <c r="C33" i="1"/>
  <c r="B33" i="1"/>
  <c r="D25" i="1"/>
  <c r="C48" i="1" l="1"/>
  <c r="C49" i="1" s="1"/>
  <c r="D37" i="1"/>
  <c r="C39" i="1"/>
  <c r="C40" i="1" s="1"/>
  <c r="B37" i="1"/>
  <c r="B39" i="1" s="1"/>
  <c r="B40" i="1" s="1"/>
  <c r="D32" i="1"/>
  <c r="D33" i="1" l="1"/>
  <c r="D39" i="1"/>
  <c r="D40" i="1" s="1"/>
  <c r="D48" i="1"/>
  <c r="D49" i="1" s="1"/>
</calcChain>
</file>

<file path=xl/sharedStrings.xml><?xml version="1.0" encoding="utf-8"?>
<sst xmlns="http://schemas.openxmlformats.org/spreadsheetml/2006/main" count="240" uniqueCount="222">
  <si>
    <t>2013</t>
  </si>
  <si>
    <t>2014</t>
  </si>
  <si>
    <t>Vaikeavammaisten kuljetuspalvelujen saajia vuoden aikana yhteensä</t>
  </si>
  <si>
    <t>VPL-matkan keskimääräinen hinta</t>
  </si>
  <si>
    <t>SHL-matkan keskimääräinen hinta</t>
  </si>
  <si>
    <t>VPL-matkoja 75+ asiakkailla yhteensä</t>
  </si>
  <si>
    <t>Yhteissumma (kerrottuna matkan hinnalla, miljoona euroa)</t>
  </si>
  <si>
    <t>75 v. täyttäneiden VPL-matkojen määrä kuukaudessa keskimäärin</t>
  </si>
  <si>
    <t>Kuljetuspalvelujen osuus vammaispalvelulain mukaisten palvelujen ja taloudellisten tukitoimien kustannuksista, euroa</t>
  </si>
  <si>
    <t>65+ asiakasmäärien muutos edelliseen vuoteen verrattuna, % (VPL-kuljetuspalvelut)</t>
  </si>
  <si>
    <t>75 v. %-osuus 65 v. täyttäneistä asiakkaista (VPLn kuljetuspalveluissa)</t>
  </si>
  <si>
    <t>Nykyiset VPL-matkojen kustannukset 75 vuotta täyttäneillä:</t>
  </si>
  <si>
    <t>Yhteensä uudet matkakustannukset</t>
  </si>
  <si>
    <t>Matkoja näillä asiakkailla yhteensä</t>
  </si>
  <si>
    <t>Laskelma</t>
  </si>
  <si>
    <t>Muut oletukset</t>
  </si>
  <si>
    <t>Matkojen määrän muutos, % (vaikuttaa yhdistelyjen säästöpotentiaaliin)</t>
  </si>
  <si>
    <t>VPL-matkoja yhteensä (kaikenikäisillä)</t>
  </si>
  <si>
    <t>Vähennys kaikista VPL-matkoista, %</t>
  </si>
  <si>
    <t>Säästö</t>
  </si>
  <si>
    <t>Lisäkustannus</t>
  </si>
  <si>
    <t>Kokonaissäästö</t>
  </si>
  <si>
    <t>Lisätietoja</t>
  </si>
  <si>
    <t>Säästö hallinnollisissa kuluissa: hallinnointi (30 min./kk)*työntekijöiden määrä (5*50)*toimistotyöntekijän tuntipalkka (23,1 euroa)</t>
  </si>
  <si>
    <t>Mustalla olevien tilastotietojen lähde: THL, Tilasto- ja indikaattoripankki Sotkanet.fi</t>
  </si>
  <si>
    <t>Kuljetuspalveluiden järjestämisen uudistaminen (VPL-, SHL- ja Kela-matkojen yhdistäminen)</t>
  </si>
  <si>
    <t>Iäkkäiden henkilöiden kuljetuspalveluja koskevat taustatiedot ja säästölaskelmat</t>
  </si>
  <si>
    <t>Korkean iän (75 +v)  jälkeen vammautuneille, joilla vammautuminen ei liittyisi ikään säilyisi oikeus VPL-matkoihin</t>
  </si>
  <si>
    <t>Ennen korkeaa ikää (75 v) vammautuneilla säilyisivät VPL-matkat</t>
  </si>
  <si>
    <t>20 % saa nykyisen erityishuollon sijaan kuljetuksen vammaispalvelulain mukaisena liikkumisen tukena</t>
  </si>
  <si>
    <t>Ohjatun asumisen kustannukset</t>
  </si>
  <si>
    <t>Henkilökohtaisen avun toteuttamistapojen monipuolistaminen</t>
  </si>
  <si>
    <t>Vastuuvakuutuksen korvaaminen henkilökohtaisen avun työnantajamallin valinneille</t>
  </si>
  <si>
    <t>Taustatietoja:</t>
  </si>
  <si>
    <t>Vammaisten laitoshuollon kustannukset (2015)</t>
  </si>
  <si>
    <t>Kehitysvammalaitosten hoitopvät (2015)</t>
  </si>
  <si>
    <t>Sos ja terv huollon hintaindeksi (2011)</t>
  </si>
  <si>
    <t>Sos ja terv huollon hintaindksi  2015</t>
  </si>
  <si>
    <t>sos toimen hintaindeksi 2011</t>
  </si>
  <si>
    <t>Sos toimen hintaindeksi 2013</t>
  </si>
  <si>
    <t>Sos toimen hintaindeksi 2015</t>
  </si>
  <si>
    <t>Terv hintaindeksi 2015</t>
  </si>
  <si>
    <t>Terv hintaindeksi 2010</t>
  </si>
  <si>
    <t>Terv hintaindeksi 2011</t>
  </si>
  <si>
    <t xml:space="preserve"> alle 18 </t>
  </si>
  <si>
    <t xml:space="preserve"> 18-64</t>
  </si>
  <si>
    <t xml:space="preserve"> 65-74</t>
  </si>
  <si>
    <t xml:space="preserve"> 75+</t>
  </si>
  <si>
    <t xml:space="preserve"> Yhteensä</t>
  </si>
  <si>
    <t>Omaishoidon tuen alle 18-v saajat (2013)</t>
  </si>
  <si>
    <t>Aamu - ja iltapäivätoiminta/v/asiakas (Kuusikko 2015)</t>
  </si>
  <si>
    <t>Vaikeavammaisten palveluasuminen, alle 18-v asiakkaat, lkm (2013) Sotkanet</t>
  </si>
  <si>
    <t>Vaikeavammaisten palveluasuminen, €/vrk (Kuusikko 2013, netto)</t>
  </si>
  <si>
    <t>Vaikeavammaisten palveluasumisen kustannukset/v  (Kuusikko 2013, netto)</t>
  </si>
  <si>
    <t>Perhehoito/vrk (Kuusikko 2015)</t>
  </si>
  <si>
    <t>Tuettu asuminen € /vrk (Kuusikko 2015)</t>
  </si>
  <si>
    <t>Tuetun asumisen asiakkaat 31.12.2015 (Sotkanet 2015)</t>
  </si>
  <si>
    <t>Ohjattu asuminen €/vrk (Kuusikko 2015)</t>
  </si>
  <si>
    <t>Ohjatun asumisen asiakkaat 31.12.2015 (Sotkanet 2015)</t>
  </si>
  <si>
    <t>Terv huollon hintaindeksi 2011</t>
  </si>
  <si>
    <t>Terv huollon hintaindeksi 2013</t>
  </si>
  <si>
    <t>Terv huollon hintaindeksi 2015</t>
  </si>
  <si>
    <t>Terv huollon vuodeosastohoito/vrk, pitkäaikaishoito THL (2011)</t>
  </si>
  <si>
    <t>Terv huollon vuodeosastohoito/vrk, pitkäaikaishoito (arvio 2013)</t>
  </si>
  <si>
    <t>Terv huollon vuodeosastohoito/vrk, pitkäaikaishoito (arvio 2015)</t>
  </si>
  <si>
    <t>Avohoidon yksikkö 4 autistiselle lapselle (päivät koulussa) (2017)</t>
  </si>
  <si>
    <t>terapiat kelasta, ei vuokraa</t>
  </si>
  <si>
    <t>Pienryhmäkoti vaikeavammaiset lapset 500-700 (2017)</t>
  </si>
  <si>
    <t>Vanhainkotihoito, oma tuotanto (THL, v. 2011)</t>
  </si>
  <si>
    <t>Vanhainkotihoito, oma tuotanto (THL, v. 2011 korotettu 2013 tasoon)</t>
  </si>
  <si>
    <t>Autettu asuminen €/vrk (Kuusikko 2015)</t>
  </si>
  <si>
    <t>Työ- ja päivätoiminta €/pv (Kuusikko 2015)</t>
  </si>
  <si>
    <t>Työ- ja päivätoiminta Käyttöpäiviä/as/v (Kuusikko 2015)</t>
  </si>
  <si>
    <t>Asiakasmaksujen osuus prosenttia laitoshoidon kustannuksista</t>
  </si>
  <si>
    <t>Lyhytaikainen huolenpito kotiin tai muualla € (asiantuntija-arvio  Valas)</t>
  </si>
  <si>
    <t>Vanhainkotihoito alle 65 v asiakkaat (Sotkanet 2015)</t>
  </si>
  <si>
    <t>Terveyskeskus vuodeosasto alle 65 v pitkäaikaisasiakkaat (Sotkanet 2015)</t>
  </si>
  <si>
    <t>Vanhainkotihoidon kustannukset (Sotkanet 2015)</t>
  </si>
  <si>
    <t>Vanhainkotien hoitopäivät (Sotkanet 2015)</t>
  </si>
  <si>
    <t>Vanhainkotien hoitopäivä € (Sotkanet 2015)</t>
  </si>
  <si>
    <t>Säästöt muissa palveluissa</t>
  </si>
  <si>
    <t>Laitoshoidon kustannusten (keskimäärin 374,82 €/vrk) poistuminen</t>
  </si>
  <si>
    <t>Siirtyminen ohjatusta tuettuun asumiseen</t>
  </si>
  <si>
    <r>
      <t xml:space="preserve">SHL-matkojen määrä kuukaudessa keskimäärin </t>
    </r>
    <r>
      <rPr>
        <vertAlign val="superscript"/>
        <sz val="10"/>
        <color theme="6" tint="-0.499984740745262"/>
        <rFont val="Arial"/>
        <family val="2"/>
      </rPr>
      <t>2</t>
    </r>
  </si>
  <si>
    <r>
      <rPr>
        <vertAlign val="superscript"/>
        <sz val="9"/>
        <rFont val="Arial"/>
        <family val="2"/>
      </rPr>
      <t>1)</t>
    </r>
    <r>
      <rPr>
        <sz val="9"/>
        <rFont val="Arial"/>
        <family val="2"/>
      </rPr>
      <t xml:space="preserve"> Perustuu Kelan hoitotuen saajista tehtyyn analyysiin (kuinka suuri osa on saanut hoitotuen ennen 75 v.)</t>
    </r>
  </si>
  <si>
    <r>
      <rPr>
        <vertAlign val="superscript"/>
        <sz val="9"/>
        <rFont val="Arial"/>
        <family val="2"/>
      </rPr>
      <t>2</t>
    </r>
    <r>
      <rPr>
        <sz val="9"/>
        <rFont val="Arial"/>
        <family val="2"/>
      </rPr>
      <t xml:space="preserve"> Korotus 3-&gt; 3,1 perustuu Espoon aineistoon</t>
    </r>
  </si>
  <si>
    <t>75 vuotta täyttäneiden matkojen väheneminen, lkm</t>
  </si>
  <si>
    <t>Invalidivähennyksen poistaminen</t>
  </si>
  <si>
    <t>Henkilöstötarpeen väheneminen</t>
  </si>
  <si>
    <t>Auton luovuttaminen vammaisen henkilön käyttöön</t>
  </si>
  <si>
    <t>Milj. €</t>
  </si>
  <si>
    <t>Liikkumista tukevien palvelujen vähentäminen käytössä olevan auton perusteella</t>
  </si>
  <si>
    <t>2 § Soveltamisala</t>
  </si>
  <si>
    <t>9 § Valmennus ja tuki</t>
  </si>
  <si>
    <t>Liikkumistaidon ohjauksen lisääminen</t>
  </si>
  <si>
    <t>11 § Henkilökohtaisen avun toteuttaminen</t>
  </si>
  <si>
    <t>Sairaaloiden säästö koostuu työntekijöiden (5 hoitajaa / potilas) palkka- ym. henkilöstöhallinnon vähenemisestä.</t>
  </si>
  <si>
    <t>Hengityslaitepotilaiden hoidon järjestämisvastuun poistaminen sairaaloilta ja siirtäminen maakunnille sekä avustajien ammattirakenteen muuttaminen</t>
  </si>
  <si>
    <t>13 § Asumista tukevat palvelut</t>
  </si>
  <si>
    <t>YHTEENVETO SÄÄSTÖPOTENTIAALISTA</t>
  </si>
  <si>
    <t>500 henkilön siirtyminen ns. ohjatusta asumisesta (69 €/vrk) SHL:n mukaiseen tuettuun asumiseen (21 €/vrk).</t>
  </si>
  <si>
    <t xml:space="preserve">Ryhmäkoti </t>
  </si>
  <si>
    <t>Esimerkkihinta</t>
  </si>
  <si>
    <t xml:space="preserve">Laitoshoito, haastavasti käyttäytyvät nuoret </t>
  </si>
  <si>
    <t>Laitoshoidon vähentäminen</t>
  </si>
  <si>
    <t>11 § Henkilökohtaisen avun toteuttamistavat</t>
  </si>
  <si>
    <t>15 § Lyhytaikainen huolenpito</t>
  </si>
  <si>
    <t>Kehitysvammalaitoshoito/vrk (2015)</t>
  </si>
  <si>
    <t>Kehitysvammalaitoshoito vrk korotettuna 20 % (2015)</t>
  </si>
  <si>
    <t>Sos ja terv huollon hintaindeksi (arvio 2013)</t>
  </si>
  <si>
    <t>Kehitysvammalaitos, pitkäaik asiakkaat (2013)</t>
  </si>
  <si>
    <t>10 § Henkilökohtainen apu</t>
  </si>
  <si>
    <t>Kustannusten muutos:Kotona asumisen tuen lisääminen yli 7 v lapsille, tuki yht.150 €/vrk</t>
  </si>
  <si>
    <t>Kustannusten muutos: Kotona asumisen tuen lisääminen alle 7 v lapsille, tuki yht. 150 €/vrk</t>
  </si>
  <si>
    <t xml:space="preserve">16 § Päiväaikaisen toiminnan lisääminen </t>
  </si>
  <si>
    <t>Perhehoidon tukea lisätään perehoitajien rekrytoinnin helpottamiseksi.  Nykyinen vammaisten henkilöiden perhehoidon kustannus keskimäärin n. 82 €/vrk (kuusikko 2015). Perhehoitoon ei voida sijoittaa henkilöitä, joiden hoidossa joudutaan käyttämään itsemääräämisoikeutta rajoitettavia toimenpiteitä. (Kuusikko 2015).</t>
  </si>
  <si>
    <t>Kustannusten muutos:Aikuisten vammaisten henkilöiden avohoito sairaalahoidon sijaan, kuntien kustannusten kasvu arviolta 20 %.</t>
  </si>
  <si>
    <t xml:space="preserve">NYKYTILA: Laitoshoito.  Esim. autistiset lapset,  päivällä koulussa. Laitoshoidon kustannukset (375 €/vrk). </t>
  </si>
  <si>
    <t>NYKYTILA:Laitoshoito monivammaisille lapsille (kehitysvamma +hengitysvaikeuksia, epilepsiaa yms.). Laitoshoidon kustannukset (500 €/vrk).</t>
  </si>
  <si>
    <t>Invalidivähennyksen arvioitu verotuotto v. 2019 tasossa jakaantuu seuraavasti:  Valtio 14 milj., kunnat 13 milj., Kela 1 milj. ja seurakunnat 1 milj. €.</t>
  </si>
  <si>
    <t>Valmennuksen kustannukset: 5 tuntia / asiakas esim. fysioterapeutin kouluttaman lähihoitajan antamana valmennuksena: 2000 asiakasta * 5 tuntia * lähihoitajan tuntipalkka (25,8 euroa)</t>
  </si>
  <si>
    <t>Matkoja on voitu vähentää jo nykyisen oikeuskäytännön perusteella.Jatkossa matkojen vähentämisestä säädettäisiin laissa.</t>
  </si>
  <si>
    <t>Invalidivähennyksen verotuotto (valtio ja kunnat)</t>
  </si>
  <si>
    <t>17 § Liikkumisen tuki ja palvelut</t>
  </si>
  <si>
    <t>PALVELUJEN LISÄKUSTANNUKSET YHTEENSÄ</t>
  </si>
  <si>
    <t xml:space="preserve">Vammaispalvelujen suunnittelu-, hallinnointi- ja johtotehtävissä työskentelevien tarve vähenee arviolta noin 130 työntekijällä, kun erityispalveluja järjestetään vain yhden lain nojalla. Palkkakustannukset (ml.työnantajakustannukset) keskimäärin 47 000 €/v/hlö). </t>
  </si>
  <si>
    <t>Lisätään muulla kuin työnantajamallilla toteutettua henkilökohtaista apua noin 600 000 tuntia/v. Arvioitu kustannusten kasvu 10 €/t.</t>
  </si>
  <si>
    <t>n. 1000</t>
  </si>
  <si>
    <t>Päiväaikaisen toiminnan uudet asiakkaat, jotka tarvitsevat kuljetusta päivätoimintaan (80 % asiakkaista)</t>
  </si>
  <si>
    <t>SHL-matkan hinta keskimäärin 25 €/matka (Kuusikko)</t>
  </si>
  <si>
    <t>Pitkäaikaisen tk-vuodeosastohodon alle 65-vuotiaiden asiakkaiden määrä:v. 2012:439, v. 2013:314, v. 2014:230, v. 2015:178</t>
  </si>
  <si>
    <t>Kustannusten muutos: Pienryhmäkotihoito kehitysvammalaitoshoidon sijaan monivammaisille lapsille, maakuntien kustannusten kasvu arviolta 20 %</t>
  </si>
  <si>
    <t>V. 2015</t>
  </si>
  <si>
    <t xml:space="preserve">UUSI: Kotona asumisen tuen lisääminen kotona asuville 7-17-v lapsille: Kotipalvelun tms. shl:n mukaisen tuen lisäys siten, että kokonaistuki 150 €/vrk </t>
  </si>
  <si>
    <t>Muutos: Kotona asumisen tuen lisääminen yli 7 v lapsille, tuki yht. 120 €/vrk €/vrk.</t>
  </si>
  <si>
    <t>UUSI: Alle 7 v kotona asuvien tuen lisäys 100 euroon/vrk</t>
  </si>
  <si>
    <t>Kustannusten muutos: Kotona asumisen tuen lisääminen alle 7 v lapsille, tuki yht. 100 €/vrk.</t>
  </si>
  <si>
    <r>
      <t xml:space="preserve">Ennen korkeaa ikää (75 v) vammautuneiden määrä (oletus: 64 % </t>
    </r>
    <r>
      <rPr>
        <vertAlign val="superscript"/>
        <sz val="10"/>
        <color rgb="FF0070C0"/>
        <rFont val="Arial"/>
        <family val="2"/>
      </rPr>
      <t>1)</t>
    </r>
    <r>
      <rPr>
        <sz val="10"/>
        <color rgb="FF0070C0"/>
        <rFont val="Arial"/>
        <family val="2"/>
      </rPr>
      <t>)</t>
    </r>
  </si>
  <si>
    <t>Kehitysammaisia on ikäluokassa arviolta 500, joista on  varhaiskasvatuksessa arviolta 50 % keskimäärin 3,5 vuotta. Kehitysvammaisia on varhaiskasvatuksessa arviolta 875, joista arviolta 613 (70 %) on saanut erityishuoltona 11 kk/v maksuttoman kuljetuksen (kustannus arviolta 380 €/kk)  kuntouttavaan varhaiskasvatukseen.</t>
  </si>
  <si>
    <t>20 vammaisen henkilön (esim. autistististen tai muiden vammaisten lasten, joille ryhmäkotiasuminen ei sovellu) siirtyminen pois laitoshoidosta perhehoitoon, jota tuetaan palkkioin ja palveluin keskimäärin 120 euron arvosta/vrk.</t>
  </si>
  <si>
    <t>Kehitysvammalaitoksista perhehoitoon siirtyvät lapset ja aikuiset</t>
  </si>
  <si>
    <t xml:space="preserve">Kuntien perusterveydenhuollon menot 618 €/asukas ja erikoissairaanhoidon menot 1 209 €/asukas (netto) (Sotkanet 2015). Em. menot huomioitu 300 %:sti.   </t>
  </si>
  <si>
    <t>Vammaisen lapsen oman perheen kanssa asumisen tukeminen</t>
  </si>
  <si>
    <t>Laitoshoidon kustannusten  (700 €/vrk) poistuminen</t>
  </si>
  <si>
    <t>Palvelukoti (hengitysvaikeuksia, epilepsiaa ym)/vrk</t>
  </si>
  <si>
    <t>Omaishoidon hoitopalkkio/kk ml sotu arvio</t>
  </si>
  <si>
    <t>Omaishoidon tuki ml sotu arvio</t>
  </si>
  <si>
    <t>NYKYTILA:  Kotona asumisen tuki kotona asuville alle 7-v vammaisille lapsille. Tuki, arvio: Omaishoidon tuen palkkio 600 €/kk, 36 hoitopvää/v as. palvelussa tms (250 €/vrk), kotihoidon palvelu 15 t/kk á 40 €/t. Tuki yht. 64 €/vrk</t>
  </si>
  <si>
    <t>NYKYTILA: Kotona asumisen tuki kotona asuville alle 7-v vammaisille lapsille. Tuki, arvio: Omaishoidon tuen palkkio 800 €/kk ml. sotu, 46 hoitopvää/v laitos-,  as. palvelussa tms.(418 €/vrk), kotihoidon palvelu 15 t/kk á 40 €/t. Tuki yht. 99  €/vrk .</t>
  </si>
  <si>
    <t>NYKYTILA: Kotona asumisen tuki kotona asuville 7-17-v lapsille: Tuki, arvio: Omaishoidon tuen palkkio 800 €/kk ml. sotu, 46 hoitopvää/v as. palvelussa tms (418 €/vrk)., henk koht apu 30 t/kk á 25 €, aamu/iltapäivähoito tms. 6500 €/v).  Tuki yht. 121,80 €/vrk</t>
  </si>
  <si>
    <t>NYKYTILA:Kotona asumisen tuki kotona asuville 7-17-v lapsille: Tuki, arvio: Omaishoidon tuen palkkio 600 €/kk ml. sotu, 46 hoitopvää/v as. palvelussa tms (418 €/vrk)., henk koht apu 30 t/kk á 25 €, aamu/iltapäivähoito tms. 6618 €/v (Kuusikko 2015) . Tuki yht. 97 €/vrk</t>
  </si>
  <si>
    <t>UUSI: Kotona asumisen tuen lisääminen kotona asuville yli 7-v lapsille, tuki 120 €/vrk</t>
  </si>
  <si>
    <t>Henkilökohtaisen avun saajia oli 19 000 v. 2015 (Sotkanet), arvolta 64 % sai apua työnantajamallilla, jonka osuus oli vähentymässä (THL 2014). Työnantajamallia käyttävät ovat etenkin muita kuin pieniä tuntimääriä  (alle 10 h/vko) apua saaneita, joita oli 50 % saajista. 10-24 tuntia viikossa (780 h/v) apua saaneita oli  22,4 %. Muun kuin työnantajamallilla toteutetun avun tuntihinta on arviolta 10 € suurempi.</t>
  </si>
  <si>
    <t>Vammaisten lasten tukeminen asumaan oman perheen kanssa</t>
  </si>
  <si>
    <t xml:space="preserve">17 § Liikkumisen tuki ja palvelut  </t>
  </si>
  <si>
    <t>Kuntouttavan päivähoidon (varhaiskasvatuksen) maksuttomien kuljetusten järjestämisen poistaminen ja korvaaminen tarvittaessa liikkumisen tuella ja palveluilla</t>
  </si>
  <si>
    <t xml:space="preserve">18 § Liikkumista tukevien palvelujen toteuttaminen </t>
  </si>
  <si>
    <t>Asiakasmaksutulot</t>
  </si>
  <si>
    <t>Muilla iäkkäillä (75+v) , joilla avun tarve liittyisi pääasiassa ikään, matkat SHLn mukaan</t>
  </si>
  <si>
    <t xml:space="preserve">Asiakasmaksutulojen kasvu korkeassa iässä olevien henkilöiden, joiden avun tarveliittyy pääasiassa ikään, siirtyessä VpL:n henkilökohtaisen avun piiristä ShL:n mukaiseen kotihoitoon </t>
  </si>
  <si>
    <t>Asiakasmaksutulojen kasvu korkeassa iässä olevien henkilöiden,  joiden avun tarve liittyy pääasiassa ikään, siirtyessä VpL:n palveluasumisen piiristä ShL:n mukaiseen palveluasumiseen</t>
  </si>
  <si>
    <t>VpL:n mukaisen palveluasumisen 65 vuotta täyttäneiden asiakkaiden määrä oli 1 400 v. 2013, 1 560 v. 2014 ja 1 725 v. 2015 (yli 65 v asiakkaita ei tilastoida ikäryhmittäin).Palveluasumisen tuotantokustannuksissa ei oleteta tapahtuvan olennaisia muutoksia.Vpl:n mukaiseen palvelusumiseen kuuluvat erityispalvelut ovat maksuttomia. ShL:n mukainen palveluasuminen on maksullista.</t>
  </si>
  <si>
    <t>Asiakasmaksutulojen kasvu (lasketaan säästöksi)</t>
  </si>
  <si>
    <t>Paljon kuljetuspalveluja käyttävien siirtyminen leasing-autoon (300 asiakasta):</t>
  </si>
  <si>
    <t>Vaihtoehtoiset kuljetuspalvelujen kustannukset: 300 käyttäjää*matkojen määrä/v. (oletus: täydet vapaa-ajan matkat (18/kk)+työmatkat (42/kk) * VLP-matkan hinta (29 euroa)</t>
  </si>
  <si>
    <t>Leasing-kustannukset: 70 käyttäjää * leasing-auto 900 euroa/kk</t>
  </si>
  <si>
    <t>UUSI: Kotona asumisen tuen lisääminen (kotipalvelu tms) kotona asuville alle 7-v vammaisille lapsille siten, että kotipalvelua tms. ShL:n mukaista tukea lisätään siten, että kokonaistuki on 150 €/vrk (lisäys n. 51 €/vrk)</t>
  </si>
  <si>
    <t>Asiakkaat lkm</t>
  </si>
  <si>
    <t>Kustannusten muutos: Pienryhmäkotihoito laitoshoidon sijaan  yli 7-v (autistisille) koulussa käyville lapsille, maakuntien kustannusten kasvu arviolta 20 %</t>
  </si>
  <si>
    <t>UUSI: Avohoito pienryhmäkodissa. Kuntien kustannusten kasvu arviolta 20 % (arvioitu huomioimalla terv palvelut, kuljetukset, avustaja/tuki 30 h/kk).</t>
  </si>
  <si>
    <t>NYKYTILA: Terveydenhuollon (tai vanhainkotihoidon)  laitoshoito vammaisille aikuisille (esim. aivovammaiset), laitoshoidon kustannukset 203,60 €/vrk.</t>
  </si>
  <si>
    <t>UUSI: Terveydenhuollon (tai vanhainkotien) laitoshoidosta muuttavien avohoito. Kuntien kustannusten arvioitu kasvu 20 %.</t>
  </si>
  <si>
    <t>Arvioitu työnantajamallin käyttäjien määrä 10 000* vastuuvakuutuksen hinta (150 €/V)</t>
  </si>
  <si>
    <t xml:space="preserve">Lisätään 300 eri-ikäiselle henkilölle lyhyaikaisen huolenpidon palveluja keskimäärin 500 €:n arvosta/kk. </t>
  </si>
  <si>
    <t>Lisäys koskisi lähinnä muita vammaryhmiä kuin kehitysvammaisia, sokeita ja kuuroja. Saajien määrä arvioitu Valas I-valmistelun yhteydessä vuoden 1987 kohortin lapsena alkaneiden ylimpien vammaisetuuksien saajien määrän ja diagnoosin perusteella.Toteutetaan esim. aamu- ja iltapäivähoitona, kotipalveluna, asumis- ja laitospalveluna.</t>
  </si>
  <si>
    <t>Autoveron palautuksen saajia on n. 6000 ja vpl:n nojalla myönnettävää auton hankintatukea saaneita  n. 2000 kuudessa (6) vuodessa. Veronpalautusta ja hankintatukea voi saada samanaikaisesti. Henkilöiltä, joiden käytössä on auto, vähennetään vapaa-ajan matkoihin tarkoitettujen kuljetuspalvelujen määrää. Matkat vähenevät arviolta 4000 henkilöltä keskimääriin 2 matkaa /kk (VPL-matkan hinta 29 €).</t>
  </si>
  <si>
    <t>Leasing-kustannukset: 300 käyttäjää * leasing-auto 900 euroa/kk 
+ keskimäärin 6 kuljetuspalvelumatkaaa/kk: 300 käyttäjää* 6 matkaa/kk * VPL-matkan hinta (29 euroa)</t>
  </si>
  <si>
    <t>Aiemmin muilla tavoin auton hankkineiden siirtyminen leasing-autoon (70 käyttäjää)</t>
  </si>
  <si>
    <t xml:space="preserve">VpL:n mukaisen henkilökohtaisen avun 65 vuotta täyttäneiden asiakkaiden määrä oli 5 810 vuonna 2015. Määrä on kasvanut useilla sadoilla vuosittain (yli 65 v asiakkaita ei tilastoida ikäryhmittäin).Kohderyhmän henkilökohtainen apu oletetaan tuotetun pääasiassa muulla kuin työnantajamallilla, joten palvelun tuotantokustannuksissa ei oleteta tapahtuvan olennaisia muutoksia. Henkilöiden tulotaso sama kuin palveluasumista koskevassa laskelmassa. Henkilöistä useimpien oletetaan saaneen aiemminkin osan palvelusta kotihoitona ja kotihoidon maksuprosentin nousevan 20 %:sta 35 % tulorajan ylittävistä tuloista. </t>
  </si>
  <si>
    <t>Vpl:n mukaisen palveluasumisen yli 65-vuotiaita asiakkaita arvioidaan olevan 2200 vuonna 2019. Heistä arviolta 25 % on henkilöitä, joiden avun tarve liittyy pääasiassa korkeaan ikään. SHL:n mukaisen tehostetun palveluasumisen asiakasmaksuksi oletettu maksuasetuksen mukainen kotihoidon maksu (35 % tulorajan (573 €) ylittävistä huomioon otettavista tuloista (joiksi arvioitu 1 500 €).</t>
  </si>
  <si>
    <t xml:space="preserve">2 § Soveltamisala ja 17 § Liikkumisen tuki ja palvelut </t>
  </si>
  <si>
    <t>Matkoja näillä asiakkailla yhteensä (oletus: 85 % ennen VPL-matkoja saaneista saisi matkat SHLn mukaan)</t>
  </si>
  <si>
    <t>Kohdejoukoksi on asiantuntija-arvion perusteella oletettu noin puolet hengityslaitepotilaista (N= THL:n selvityksen (2016) perusteella noin 120), joiden ympärivuorokautisessa hoitoringissä on 5 työntekijää. Kaikkien avustajien ei tarvitse olla terveydenhuollon ammattihenkilöitä. Henkilökohtaisten avustajien palkkatasoksi arvioitu 10 % keskimääräistä korkeampi palkka.Avustajan käyttö mahdollistaa laaja-alaisemman avun kuin terveydenhuollon henkilöstön antama apu.</t>
  </si>
  <si>
    <t xml:space="preserve">KvL:n nojalla järjestetty ns. ohjattu asuminen (N=2006 v. 2015) (eli ei-ympärivuorokautinen palveluasuminen) on kuntien mielestä resursseja tuhlaava palvelu, koska asukkaat ovat päivisin työ- tai päivätoiminnassa tms., jolloin työntekijöitä on turhaan paikalla asumisyksikkössä. Kohderyhmän asumisen tuki voidaan järjestää muulla tavalla esim. sosiaaliohjauksena yksiköistä, joissa on henkilöstöä ympärivuorokautisesti tai lähiyhteisössä olevista tukipisteistä taikka valmennuksena ja tukena. Esim. Eksotessa luovuttu ohjatusta asumisesta kokonaan. </t>
  </si>
  <si>
    <t>20 vammaiselle lapselle järjestetään hoitaja (41 159 €/v) kotiin omaishoidon tuen lisäksi. Omaishoidon hoitopalkkio 700 €/kk ja vapaat 36 vrk *700 €.Terveydenhuoltomenoina huomioitu 7 308 €/v/asiakas.</t>
  </si>
  <si>
    <t xml:space="preserve">Järjestetään päiväaikaista toimintaa laitoshoidosta avohoitoon siirtyville.180 henkilöä x 95 € (arvioitu keskimääräinen kustannus ilman kuljetuksia)  x 150 vrk. </t>
  </si>
  <si>
    <t>Työ- ja päivätoimintaan osallistuu n. 80 % palveluun oikeutetuista keskimäärin 163 päivänä/v 77 €/vrk netto (Kuusikko 2015). Uusien päiväaikaisen toiminnan asiakkaiden toimintakyky on keskimäärin selvästi alempi  kuin em. ryhmän.</t>
  </si>
  <si>
    <t>Valmennuksen ja tuen edellyttämäksi lisähenkilöstöksi arvoitu yhteensä 33 uutta työntekijää.</t>
  </si>
  <si>
    <t>Noin 1000 henkilön/v  valmentaminen itsenäisempään asumiseen tai tukeminen asumisessa. Valmennusta ja tukea antaa 1 työntekijä (palkkakustannukset 41 159 €/v) 30 asiakasta kohti</t>
  </si>
  <si>
    <t>UUSI: Avohoito pienryhmäkodissa avohoidossa (450€/vrk ) eli kustannusten kasvu arviolta 20 % (arvioitu huomioimalla terv palvelut, kuljetukset, avustaja tai muu tuki esim. harrastuksiin 30 h/kk).</t>
  </si>
  <si>
    <t xml:space="preserve">60:n hengityslaitepotilaan hoitoringin muutos 3 sairaanhoitaja (palkkakustannukset 47 755 €/v/hlö) +2 lähihoitajaa (41 159 €/v/hlö) mallista 1 sairaanhoitaja+ 4 henkilökohtaista avustajaa (31 119 €/v+10 %) -malliin. </t>
  </si>
  <si>
    <t>Liikkumistaidon ohjausta lisätään 1 800 henkilölle, mikä vähentää heidän kuljetuspalvelujen käyttöään puoleen keskimääräisestä kuljetuspalvelujen käytöstä (6,4 -&gt; 3,2 matkaa/kk VPL-matkan keskihinnalla (29 €).</t>
  </si>
  <si>
    <t>Palvelujen säästöt yht.</t>
  </si>
  <si>
    <t>Muut auton hankkimistuet: verotuki noin 4 000 euroa joka 3. vuosi sekä hankintatuki keskimäärin 3 163 euroa / auton hankinta (5-7 v. välein): yhteensä keskimäärin 1 861 €/v (1333,3 €+527,2 €) euroa vuodessa* 70 käyttäjää</t>
  </si>
  <si>
    <t>75 vuoden jälkeen vammautuneista henkilöitä, joiden vammautuminen liittyy korkeaan ikään (oletus: 80 %)</t>
  </si>
  <si>
    <t>Vpl:n mukaisen henkilökohtaisen avun yli 65-vuotiaita asiakkaita arvioidaan olevan 7 500 vuonna 2019. Heistä arviolta 23 % on henkilöitä, jotka eivät saisi palvelua uuden soveltamisalan määrittelyn johdosta. SHL:n mukaisen kotihoidon maksutulojen kasvuksi oletetaan keskimäärin 140 €/kk.</t>
  </si>
  <si>
    <t>Kuusikkokuntien raporteista saadut tiedot (Osa tiedoista on vakiinnutettu v. 2013-2014 tasolle, koska v. 2015 tiedot erosivat paljon aiemmista vuosista)</t>
  </si>
  <si>
    <t>Vaikeavammaisten kuljetuspalveluissa 75 v täyttäneitä  asiakkaita  vuoden aikana (arvioitu Kuusikkokuntien osuudella)</t>
  </si>
  <si>
    <t>Vaikeavammaisten kuljetuspalveluissa 65 v täyttäneitä asiakkaita vuoden aikana</t>
  </si>
  <si>
    <t>VPL-Matkat/asiakas/kk (kaikki asiakkaat)</t>
  </si>
  <si>
    <r>
      <t>75 vuoden jälkeen vammautuneista henkilöitä, joiden vammautuminen ei liity korkeaan  ikään (oletus:20 %</t>
    </r>
    <r>
      <rPr>
        <vertAlign val="superscript"/>
        <sz val="10"/>
        <color rgb="FF0070C0"/>
        <rFont val="Arial"/>
        <family val="2"/>
      </rPr>
      <t>1</t>
    </r>
    <r>
      <rPr>
        <sz val="10"/>
        <color rgb="FF0070C0"/>
        <rFont val="Arial"/>
        <family val="2"/>
      </rPr>
      <t>)</t>
    </r>
  </si>
  <si>
    <t>Kehitysvammalaitoksissa ja kehitysvammaisten asumispalveluissa työskenteli 6 905 henkilöä v. 2014 (Sosiaali- ja terveysalan tilastollinen vuosikirja 2016). Erillisen kehitysvammalain jja sen  nojalla laadittavan erityishuolto-ohjelman takia kehitysvammapalvelut ovat toimineet osin erillään muista vammaispalveluista. SHL:n ensisijaisuus vähentää erityispalvelujen tarvetta koskevia arviointeja ja päätöksiä. Henkilöstötarpeen muutos on arvioitu yhteistyössä THL:n kanssa VM:n laskentamallilla.</t>
  </si>
  <si>
    <t>Kuljetuksen kustannustieto Valas-työryhmän laskelmista. Varhaiskasvatusmaksu peritään enintään 11 kuukaudelta.</t>
  </si>
  <si>
    <t xml:space="preserve">VpL-matkat ja ShL-matkat aletaan hoitaa saman maakunnallisen yhdistelykeskuksen kautta kuin Kelan korvaaamat sv-matkat ja palvelulinjoja hyödynnetään enemmän keskitetyn kutsuohjauksen avulla.Taksiliiton laskelma VpL-matkakustannusten vähenemisestä, minkä lisäksi arvioitu yhdisteltävät SHL-matkat ja korkeassa iässä olevien vähenevät VpL-matkat. Taksiliitto arvioi kutsuliikenteen käytön (VpL-matkojen sijaan) säästöpotentiaaliksi 1 milj. €. Siitä on sisällytetty laskelmaan osa (80 %), koska osa on päällekkäistä liikkumistaidon opetuksen säästöpotentiaalin kanssa. </t>
  </si>
  <si>
    <t>Kuntouttava varhaiskasvatus maksulliseksi varhaiskasvatukseksi</t>
  </si>
  <si>
    <t>Kehityvammaisia henkilöitä on ikäluokassa arviolta 500, joista varhaiskasvatuksessa arviolta 50 % keskimäärin 3,5 vuotta. Kehitysvammaisia on varhaiskasvatuksessa arviolta 875, joista arviolta 613 (70 %) saanut kuntouttavaa varhaiskasvatusta (ent. päivähoitoa) (asiakasmaksua peritään 11 kuukaudelta arviolta 105 €/kk).</t>
  </si>
  <si>
    <t>Säästöarviot milj. euroa</t>
  </si>
  <si>
    <t xml:space="preserve">Selvityshenkilön raportin laskelma leasing-autoista. Selvityshenkilön säästöarvio leasing-autoista yhteensä 5,3 milj. € olettaen, että käyttäjiä 800 uutta auton käyttöön saajaa ja 200 aiemmin auton muulla tavalla hankkinutta.                                        Vaihtoehtoisesti maakunta voisi hankkia itselleen vammaisille luovutettavia autoja. Autoedun verotusta selvitetään VM:n kanssa. Kohderyhmänä ovat töissä käyvät tai opiskelijat (=4 % kuljetuspalvelujen saajista eli noin 4 000), jotka pystyvät itse (ilman avustajaa) ajamaan.                                                                 
Muutostöistä ja leasing-autojen kilpailutuksesta tulee jonkin verran lisäkustannuksia (esim. Hansel laskuttaa kilpailutuskuluina noin prosentin), mutta toisaalta  kilpailutus voisi laskea hintoja, joten niitä ei ole huomioitu tässä.
</t>
  </si>
  <si>
    <t>ARVIO VAMMAISPALVELULAINSÄÄDÄNNÖN LIIKKUMISEN TUEN JA PALVELUJEN SÄÄSTÖISTÄ 11.4.2017</t>
  </si>
  <si>
    <t>Ko</t>
  </si>
  <si>
    <t xml:space="preserve">Säästö nykyiseen verrattuna </t>
  </si>
  <si>
    <t>Lisä-kustannukset milj. euroa</t>
  </si>
  <si>
    <t>Säästöt korkeassa iässä olevien kuljetuspalveluissa</t>
  </si>
  <si>
    <t>Henk koht apu lapsille, päivä/ilta-aika, muu kuin työnantajamalli/tunti</t>
  </si>
  <si>
    <t>Lapsi hengityshalvausstatus (2017) hoitaja jatkuvasti läsnä/vrk</t>
  </si>
  <si>
    <t xml:space="preserve">ARVIO MUISTA VAMMAISPALVELULAINSÄÄDÄNNÖN UUDISTUKSEN SÄÄSTÖISTÄ </t>
  </si>
  <si>
    <t xml:space="preserve">Arvio toimenpiteen kokonaissäästöstä (v.2020) violetilla pohjalla vihreällä </t>
  </si>
  <si>
    <t xml:space="preserve">ARVIO VAMMAISPALVELULAINSÄÄDÄNNÖN UUDISTUKSEN LISÄKUSTANNUKSISTA </t>
  </si>
  <si>
    <t>Arvio toimenpiteen lisäkustannuksista (v.2020 ) violetilla pohjalla</t>
  </si>
  <si>
    <t>UUSI=Lakiesitystä vastaavat palvelut</t>
  </si>
  <si>
    <t>Laskelmassa huomioitu kunnat, joissa yhdistelyä ei vielä ole.                            STM nimennyt ryhmän valmistelemaan ehdotuksen sairaanhoitovakuutuksesta korvattavien matkojen sekä VpL:n ja ShL:n mukaisten matkojen tarkoituksenmukaisesta yhdistelystä Kelan ja maakuntien kesken kustannussäästöjen saamiseksi julkisesti rahoitetuissa kuljetuksissa. Yhdistelytoiminnan tarkoituksenmukaisuus arvioidaan myös koululaiskuljetusten osalta. Lisäksi arvioidaan mahdollisuudet yhteishankintoihin ja kilpailutuksiin.Säästöarviota tarkistetaan mahdollisuuksien mukaan HE:ssa syksyllä 2017.</t>
  </si>
  <si>
    <t>Kehitysvammaisten erityishuoltoon on voitu sisällyttää muitakin kuin vammaispalveluita. Lakisityksen mukaan erityishuolto-ohjelma poistetaan lainsäädännöstä. Jatkossa tuloihin suhteutettu asiakasmaksu perittäisiin myös kehitysvammaisten lasten varhaiskasvatuksesta.</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</si>
</sst>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 _€_-;\-* #,##0.00\ _€_-;_-* &quot;-&quot;??\ _€_-;_-@_-"/>
    <numFmt numFmtId="164" formatCode="0.0"/>
    <numFmt numFmtId="165" formatCode="#,##0.0"/>
    <numFmt numFmtId="166" formatCode="_-* #,##0\ _€_-;\-* #,##0\ _€_-;_-* &quot;-&quot;??\ _€_-;_-@_-"/>
    <numFmt numFmtId="167" formatCode="_-* #,##0.0\ _€_-;\-* #,##0.0\ _€_-;_-* &quot;-&quot;??\ _€_-;_-@_-"/>
    <numFmt numFmtId="168" formatCode="_-* #,##0.0\ _€_-;\-* #,##0.0\ _€_-;_-* &quot;-&quot;????????\ _€_-;_-@_-"/>
    <numFmt numFmtId="169" formatCode="0.0000"/>
    <numFmt numFmtId="170" formatCode="_-* #,##0.0\ _€_-;\-* #,##0.0\ _€_-;_-* &quot;-&quot;?\ _€_-;_-@_-"/>
    <numFmt numFmtId="171" formatCode="0.000"/>
    <numFmt numFmtId="172" formatCode="_-* #,##0.00\ _€_-;\-* #,##0.00\ _€_-;_-* &quot;-&quot;?\ _€_-;_-@_-"/>
  </numFmts>
  <fonts count="44">
    <font>
      <sz val="10"/>
      <name val="Arial"/>
    </font>
    <font>
      <sz val="10"/>
      <color theme="1"/>
      <name val="Arial"/>
      <family val="2"/>
    </font>
    <font>
      <sz val="10"/>
      <color theme="1"/>
      <name val="Arial"/>
      <family val="2"/>
    </font>
    <font>
      <sz val="10"/>
      <color theme="1"/>
      <name val="Arial"/>
      <family val="2"/>
    </font>
    <font>
      <sz val="10"/>
      <color theme="1"/>
      <name val="Arial"/>
      <family val="2"/>
    </font>
    <font>
      <sz val="10"/>
      <name val="Arial"/>
      <family val="2"/>
    </font>
    <font>
      <b/>
      <sz val="10"/>
      <name val="Arial"/>
      <family val="2"/>
    </font>
    <font>
      <sz val="10"/>
      <color rgb="FFFF0000"/>
      <name val="Arial"/>
      <family val="2"/>
    </font>
    <font>
      <b/>
      <sz val="10"/>
      <color rgb="FFFF0000"/>
      <name val="Arial"/>
      <family val="2"/>
    </font>
    <font>
      <sz val="10"/>
      <color rgb="FF0070C0"/>
      <name val="Arial"/>
      <family val="2"/>
    </font>
    <font>
      <b/>
      <sz val="10"/>
      <color rgb="FF0070C0"/>
      <name val="Arial"/>
      <family val="2"/>
    </font>
    <font>
      <sz val="11"/>
      <name val="Calibri"/>
      <family val="2"/>
      <scheme val="minor"/>
    </font>
    <font>
      <b/>
      <sz val="11"/>
      <name val="Calibri"/>
      <family val="2"/>
      <scheme val="minor"/>
    </font>
    <font>
      <sz val="11"/>
      <color rgb="FFFF0000"/>
      <name val="Calibri"/>
      <family val="2"/>
      <scheme val="minor"/>
    </font>
    <font>
      <sz val="11"/>
      <color theme="1"/>
      <name val="Calibri"/>
      <family val="2"/>
      <scheme val="minor"/>
    </font>
    <font>
      <sz val="10"/>
      <color theme="6" tint="-0.499984740745262"/>
      <name val="Arial"/>
      <family val="2"/>
    </font>
    <font>
      <u/>
      <sz val="11"/>
      <color rgb="FFFF0000"/>
      <name val="Calibri"/>
      <family val="2"/>
      <scheme val="minor"/>
    </font>
    <font>
      <b/>
      <sz val="11"/>
      <color rgb="FFFF0000"/>
      <name val="Calibri"/>
      <family val="2"/>
      <scheme val="minor"/>
    </font>
    <font>
      <b/>
      <u/>
      <sz val="10"/>
      <color rgb="FFFF0000"/>
      <name val="Arial"/>
      <family val="2"/>
    </font>
    <font>
      <u/>
      <sz val="10"/>
      <color rgb="FFFF0000"/>
      <name val="Arial"/>
      <family val="2"/>
    </font>
    <font>
      <b/>
      <sz val="10"/>
      <color theme="6" tint="-0.499984740745262"/>
      <name val="Arial"/>
      <family val="2"/>
    </font>
    <font>
      <sz val="10"/>
      <color theme="9" tint="-0.249977111117893"/>
      <name val="Arial"/>
      <family val="2"/>
    </font>
    <font>
      <vertAlign val="superscript"/>
      <sz val="10"/>
      <color rgb="FF0070C0"/>
      <name val="Arial"/>
      <family val="2"/>
    </font>
    <font>
      <sz val="10"/>
      <name val="Arial"/>
      <family val="2"/>
    </font>
    <font>
      <b/>
      <sz val="10"/>
      <color rgb="FF00B050"/>
      <name val="Arial"/>
      <family val="2"/>
    </font>
    <font>
      <b/>
      <sz val="11"/>
      <color rgb="FF00B050"/>
      <name val="Calibri"/>
      <family val="2"/>
      <scheme val="minor"/>
    </font>
    <font>
      <sz val="9"/>
      <name val="Arial"/>
      <family val="2"/>
    </font>
    <font>
      <vertAlign val="superscript"/>
      <sz val="10"/>
      <color theme="6" tint="-0.499984740745262"/>
      <name val="Arial"/>
      <family val="2"/>
    </font>
    <font>
      <vertAlign val="superscript"/>
      <sz val="9"/>
      <name val="Arial"/>
      <family val="2"/>
    </font>
    <font>
      <b/>
      <i/>
      <sz val="11"/>
      <name val="Calibri"/>
      <family val="2"/>
      <scheme val="minor"/>
    </font>
    <font>
      <sz val="11"/>
      <color rgb="FFFF0000"/>
      <name val="Cambria"/>
      <family val="1"/>
      <scheme val="major"/>
    </font>
    <font>
      <b/>
      <sz val="11"/>
      <color rgb="FF00B050"/>
      <name val="Cambria"/>
      <family val="1"/>
      <scheme val="major"/>
    </font>
    <font>
      <sz val="10"/>
      <color theme="1"/>
      <name val="Calibri"/>
      <family val="2"/>
      <scheme val="minor"/>
    </font>
    <font>
      <b/>
      <i/>
      <sz val="10"/>
      <name val="Arial"/>
      <family val="2"/>
    </font>
    <font>
      <i/>
      <sz val="10"/>
      <name val="Arial"/>
      <family val="2"/>
    </font>
    <font>
      <b/>
      <i/>
      <sz val="12"/>
      <name val="Calibri"/>
      <family val="2"/>
      <scheme val="minor"/>
    </font>
    <font>
      <sz val="8"/>
      <name val="Arial"/>
      <family val="2"/>
    </font>
    <font>
      <b/>
      <sz val="8"/>
      <name val="Arial"/>
      <family val="2"/>
    </font>
    <font>
      <sz val="8"/>
      <color theme="1"/>
      <name val="Arial"/>
      <family val="2"/>
    </font>
    <font>
      <b/>
      <sz val="8"/>
      <color theme="1"/>
      <name val="Arial"/>
      <family val="2"/>
    </font>
    <font>
      <sz val="10"/>
      <color theme="6" tint="-0.249977111117893"/>
      <name val="Arial"/>
      <family val="2"/>
    </font>
    <font>
      <b/>
      <sz val="11"/>
      <color theme="1"/>
      <name val="Calibri"/>
      <family val="2"/>
      <scheme val="minor"/>
    </font>
    <font>
      <b/>
      <i/>
      <sz val="11"/>
      <color theme="1"/>
      <name val="Calibri"/>
      <family val="2"/>
      <scheme val="minor"/>
    </font>
    <font>
      <i/>
      <sz val="1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s>
  <borders count="1">
    <border>
      <left/>
      <right/>
      <top/>
      <bottom/>
      <diagonal/>
    </border>
  </borders>
  <cellStyleXfs count="7">
    <xf numFmtId="0" fontId="0" fillId="0" borderId="0" applyNumberFormat="0" applyFont="0" applyFill="0" applyBorder="0" applyAlignment="0" applyProtection="0"/>
    <xf numFmtId="0" fontId="4" fillId="0" borderId="0"/>
    <xf numFmtId="0" fontId="5" fillId="0" borderId="0" applyNumberFormat="0" applyFont="0" applyFill="0" applyBorder="0" applyAlignment="0" applyProtection="0"/>
    <xf numFmtId="0" fontId="3" fillId="0" borderId="0"/>
    <xf numFmtId="0" fontId="2" fillId="0" borderId="0"/>
    <xf numFmtId="0" fontId="1" fillId="0" borderId="0"/>
    <xf numFmtId="43" fontId="23" fillId="0" borderId="0" applyFont="0" applyFill="0" applyBorder="0" applyAlignment="0" applyProtection="0"/>
  </cellStyleXfs>
  <cellXfs count="199">
    <xf numFmtId="0" fontId="0" fillId="0" borderId="0" xfId="0" applyNumberFormat="1" applyFont="1" applyFill="1" applyBorder="1" applyAlignment="1"/>
    <xf numFmtId="0" fontId="0" fillId="2" borderId="0" xfId="0" applyNumberFormat="1" applyFont="1" applyFill="1" applyBorder="1" applyAlignment="1"/>
    <xf numFmtId="0" fontId="0" fillId="2" borderId="0" xfId="0" applyNumberFormat="1" applyFont="1" applyFill="1" applyBorder="1" applyAlignment="1">
      <alignment horizontal="right"/>
    </xf>
    <xf numFmtId="3" fontId="0" fillId="2" borderId="0" xfId="0" applyNumberFormat="1" applyFont="1" applyFill="1" applyBorder="1" applyAlignment="1"/>
    <xf numFmtId="0" fontId="7" fillId="2" borderId="0" xfId="0" applyNumberFormat="1" applyFont="1" applyFill="1" applyBorder="1" applyAlignment="1"/>
    <xf numFmtId="165" fontId="0" fillId="2" borderId="0" xfId="0" applyNumberFormat="1" applyFont="1" applyFill="1" applyBorder="1" applyAlignment="1"/>
    <xf numFmtId="164" fontId="7" fillId="2" borderId="0" xfId="0" applyNumberFormat="1" applyFont="1" applyFill="1" applyBorder="1" applyAlignment="1"/>
    <xf numFmtId="0" fontId="10" fillId="2" borderId="0" xfId="0" applyNumberFormat="1" applyFont="1" applyFill="1" applyBorder="1" applyAlignment="1"/>
    <xf numFmtId="0" fontId="9" fillId="2" borderId="0" xfId="0" applyNumberFormat="1" applyFont="1" applyFill="1" applyBorder="1" applyAlignment="1"/>
    <xf numFmtId="3" fontId="9" fillId="2" borderId="0" xfId="0" applyNumberFormat="1" applyFont="1" applyFill="1" applyBorder="1" applyAlignment="1"/>
    <xf numFmtId="0" fontId="5" fillId="2" borderId="0" xfId="0" applyNumberFormat="1" applyFont="1" applyFill="1" applyBorder="1" applyAlignment="1"/>
    <xf numFmtId="0" fontId="6" fillId="2" borderId="0" xfId="0" applyNumberFormat="1" applyFont="1" applyFill="1" applyBorder="1" applyAlignment="1"/>
    <xf numFmtId="0" fontId="11" fillId="0" borderId="0" xfId="0" applyNumberFormat="1" applyFont="1" applyFill="1" applyBorder="1" applyAlignment="1">
      <alignment horizontal="left" vertical="top" wrapText="1"/>
    </xf>
    <xf numFmtId="0" fontId="11" fillId="0" borderId="0" xfId="0" applyNumberFormat="1" applyFont="1" applyFill="1" applyBorder="1" applyAlignment="1">
      <alignment vertical="top"/>
    </xf>
    <xf numFmtId="0" fontId="12" fillId="0" borderId="0" xfId="0" applyNumberFormat="1" applyFont="1" applyFill="1" applyBorder="1" applyAlignment="1">
      <alignment horizontal="left" vertical="top" wrapText="1"/>
    </xf>
    <xf numFmtId="0" fontId="11" fillId="0" borderId="0" xfId="0" applyNumberFormat="1" applyFont="1" applyFill="1" applyBorder="1" applyAlignment="1">
      <alignment vertical="top" wrapText="1"/>
    </xf>
    <xf numFmtId="0" fontId="11" fillId="0" borderId="0" xfId="0" applyNumberFormat="1" applyFont="1" applyFill="1" applyBorder="1" applyAlignment="1"/>
    <xf numFmtId="0" fontId="14" fillId="0" borderId="0" xfId="0" applyNumberFormat="1" applyFont="1" applyFill="1" applyBorder="1" applyAlignment="1">
      <alignment vertical="top" wrapText="1"/>
    </xf>
    <xf numFmtId="0" fontId="14" fillId="0" borderId="0" xfId="0" applyNumberFormat="1" applyFont="1" applyFill="1" applyBorder="1" applyAlignment="1">
      <alignment horizontal="left" vertical="top" wrapText="1"/>
    </xf>
    <xf numFmtId="0" fontId="5" fillId="2" borderId="0" xfId="0" applyNumberFormat="1" applyFont="1" applyFill="1" applyBorder="1" applyAlignment="1">
      <alignment horizontal="left" vertical="top" wrapText="1"/>
    </xf>
    <xf numFmtId="0" fontId="15" fillId="2" borderId="0" xfId="0" applyNumberFormat="1" applyFont="1" applyFill="1" applyBorder="1" applyAlignment="1"/>
    <xf numFmtId="3" fontId="15" fillId="2" borderId="0" xfId="0" applyNumberFormat="1" applyFont="1" applyFill="1" applyBorder="1" applyAlignment="1"/>
    <xf numFmtId="0" fontId="11" fillId="0" borderId="0" xfId="0" applyNumberFormat="1" applyFont="1" applyFill="1" applyBorder="1" applyAlignment="1">
      <alignment horizontal="left"/>
    </xf>
    <xf numFmtId="0" fontId="11" fillId="0" borderId="0" xfId="0" applyNumberFormat="1" applyFont="1" applyFill="1" applyBorder="1" applyAlignment="1">
      <alignment vertical="top" wrapText="1"/>
    </xf>
    <xf numFmtId="164" fontId="13" fillId="0" borderId="0" xfId="0" applyNumberFormat="1" applyFont="1" applyFill="1" applyBorder="1" applyAlignment="1">
      <alignment horizontal="right" vertical="top" wrapText="1"/>
    </xf>
    <xf numFmtId="0" fontId="5" fillId="2" borderId="0" xfId="0" applyNumberFormat="1" applyFont="1" applyFill="1" applyBorder="1" applyAlignment="1">
      <alignment horizontal="left" vertical="top" wrapText="1"/>
    </xf>
    <xf numFmtId="0" fontId="7" fillId="3" borderId="0" xfId="0" applyNumberFormat="1" applyFont="1" applyFill="1" applyBorder="1" applyAlignment="1"/>
    <xf numFmtId="3" fontId="7" fillId="3" borderId="0" xfId="0" applyNumberFormat="1" applyFont="1" applyFill="1" applyBorder="1" applyAlignment="1"/>
    <xf numFmtId="164" fontId="7" fillId="3" borderId="0" xfId="0" applyNumberFormat="1" applyFont="1" applyFill="1" applyBorder="1" applyAlignment="1"/>
    <xf numFmtId="0" fontId="18" fillId="3" borderId="0" xfId="0" applyNumberFormat="1" applyFont="1" applyFill="1" applyBorder="1" applyAlignment="1"/>
    <xf numFmtId="0" fontId="8" fillId="3" borderId="0" xfId="0" applyNumberFormat="1" applyFont="1" applyFill="1" applyBorder="1" applyAlignment="1"/>
    <xf numFmtId="164" fontId="8" fillId="3" borderId="0" xfId="0" applyNumberFormat="1" applyFont="1" applyFill="1" applyBorder="1" applyAlignment="1"/>
    <xf numFmtId="0" fontId="19" fillId="3" borderId="0" xfId="0" applyNumberFormat="1" applyFont="1" applyFill="1" applyBorder="1" applyAlignment="1"/>
    <xf numFmtId="164" fontId="15" fillId="2" borderId="0" xfId="0" applyNumberFormat="1" applyFont="1" applyFill="1" applyBorder="1" applyAlignment="1"/>
    <xf numFmtId="0" fontId="20" fillId="2" borderId="0" xfId="0" applyNumberFormat="1" applyFont="1" applyFill="1" applyBorder="1" applyAlignment="1"/>
    <xf numFmtId="0" fontId="21" fillId="2" borderId="0" xfId="0" applyNumberFormat="1" applyFont="1" applyFill="1" applyBorder="1" applyAlignment="1"/>
    <xf numFmtId="3" fontId="21" fillId="2" borderId="0" xfId="0" applyNumberFormat="1" applyFont="1" applyFill="1" applyBorder="1" applyAlignment="1"/>
    <xf numFmtId="1" fontId="21" fillId="2" borderId="0" xfId="0" applyNumberFormat="1" applyFont="1" applyFill="1" applyBorder="1" applyAlignment="1"/>
    <xf numFmtId="0" fontId="12" fillId="0" borderId="0" xfId="0" applyNumberFormat="1" applyFont="1" applyFill="1" applyBorder="1" applyAlignment="1">
      <alignment vertical="top"/>
    </xf>
    <xf numFmtId="0" fontId="13" fillId="4" borderId="0" xfId="0" applyNumberFormat="1" applyFont="1" applyFill="1" applyBorder="1" applyAlignment="1">
      <alignment wrapText="1"/>
    </xf>
    <xf numFmtId="0" fontId="7" fillId="0" borderId="0" xfId="0" applyFont="1" applyFill="1"/>
    <xf numFmtId="0" fontId="5" fillId="0" borderId="0" xfId="0" applyNumberFormat="1" applyFont="1" applyFill="1" applyBorder="1" applyAlignment="1"/>
    <xf numFmtId="0" fontId="6" fillId="0" borderId="0" xfId="0" applyNumberFormat="1" applyFont="1" applyFill="1" applyBorder="1" applyAlignment="1"/>
    <xf numFmtId="0" fontId="6" fillId="0" borderId="0" xfId="0" applyNumberFormat="1" applyFont="1" applyFill="1" applyBorder="1" applyAlignment="1">
      <alignment wrapText="1"/>
    </xf>
    <xf numFmtId="0" fontId="5" fillId="0" borderId="0" xfId="0" applyNumberFormat="1" applyFont="1" applyFill="1" applyBorder="1" applyAlignment="1">
      <alignment wrapText="1"/>
    </xf>
    <xf numFmtId="0" fontId="13" fillId="4" borderId="0" xfId="1" applyFont="1" applyFill="1" applyBorder="1" applyAlignment="1">
      <alignment wrapText="1"/>
    </xf>
    <xf numFmtId="3" fontId="0" fillId="0" borderId="0" xfId="0" applyNumberFormat="1" applyFont="1" applyFill="1" applyBorder="1" applyAlignment="1"/>
    <xf numFmtId="0" fontId="7" fillId="0" borderId="0" xfId="0" applyNumberFormat="1" applyFont="1" applyFill="1" applyBorder="1" applyAlignment="1"/>
    <xf numFmtId="164" fontId="7" fillId="0" borderId="0" xfId="0" applyNumberFormat="1" applyFont="1" applyFill="1" applyBorder="1" applyAlignment="1"/>
    <xf numFmtId="0" fontId="19" fillId="0" borderId="0" xfId="0" applyNumberFormat="1" applyFont="1" applyFill="1" applyBorder="1" applyAlignment="1"/>
    <xf numFmtId="3" fontId="7" fillId="0" borderId="0" xfId="0" applyNumberFormat="1" applyFont="1" applyFill="1" applyBorder="1" applyAlignment="1"/>
    <xf numFmtId="164" fontId="8" fillId="0" borderId="0" xfId="0" applyNumberFormat="1" applyFont="1" applyFill="1" applyBorder="1" applyAlignment="1"/>
    <xf numFmtId="0" fontId="8" fillId="0" borderId="0" xfId="0" applyNumberFormat="1" applyFont="1" applyFill="1" applyBorder="1" applyAlignment="1"/>
    <xf numFmtId="0" fontId="7" fillId="4" borderId="0" xfId="0" applyNumberFormat="1" applyFont="1" applyFill="1" applyBorder="1" applyAlignment="1"/>
    <xf numFmtId="2" fontId="24" fillId="0" borderId="0" xfId="0" applyNumberFormat="1" applyFont="1" applyFill="1" applyBorder="1" applyAlignment="1"/>
    <xf numFmtId="0" fontId="12" fillId="0" borderId="0" xfId="0" applyNumberFormat="1" applyFont="1" applyFill="1" applyBorder="1" applyAlignment="1">
      <alignment horizontal="right" vertical="top" wrapText="1"/>
    </xf>
    <xf numFmtId="0" fontId="13" fillId="4" borderId="0" xfId="0" applyNumberFormat="1" applyFont="1" applyFill="1" applyBorder="1" applyAlignment="1">
      <alignment horizontal="left" vertical="top" wrapText="1"/>
    </xf>
    <xf numFmtId="164" fontId="7" fillId="4" borderId="0" xfId="0" applyNumberFormat="1" applyFont="1" applyFill="1" applyBorder="1" applyAlignment="1"/>
    <xf numFmtId="0" fontId="8" fillId="4" borderId="0" xfId="0" applyNumberFormat="1" applyFont="1" applyFill="1" applyBorder="1" applyAlignment="1"/>
    <xf numFmtId="164" fontId="8" fillId="0" borderId="0" xfId="0" applyNumberFormat="1" applyFont="1" applyFill="1" applyBorder="1" applyAlignment="1">
      <alignment horizontal="right"/>
    </xf>
    <xf numFmtId="0" fontId="17" fillId="4" borderId="0" xfId="0" applyNumberFormat="1" applyFont="1" applyFill="1" applyBorder="1" applyAlignment="1">
      <alignment horizontal="left" vertical="top" wrapText="1"/>
    </xf>
    <xf numFmtId="164" fontId="13" fillId="4" borderId="0" xfId="0" applyNumberFormat="1" applyFont="1" applyFill="1" applyBorder="1" applyAlignment="1">
      <alignment horizontal="right" vertical="top" wrapText="1"/>
    </xf>
    <xf numFmtId="164" fontId="25" fillId="4" borderId="0" xfId="0" applyNumberFormat="1" applyFont="1" applyFill="1" applyBorder="1" applyAlignment="1">
      <alignment horizontal="right" vertical="top" wrapText="1"/>
    </xf>
    <xf numFmtId="164" fontId="24" fillId="4" borderId="0" xfId="0" applyNumberFormat="1" applyFont="1" applyFill="1" applyBorder="1" applyAlignment="1">
      <alignment horizontal="right"/>
    </xf>
    <xf numFmtId="0" fontId="26" fillId="2" borderId="0" xfId="0" applyNumberFormat="1" applyFont="1" applyFill="1" applyBorder="1" applyAlignment="1">
      <alignment horizontal="left" vertical="top" wrapText="1"/>
    </xf>
    <xf numFmtId="164" fontId="25" fillId="0" borderId="0" xfId="0" applyNumberFormat="1" applyFont="1" applyFill="1" applyBorder="1" applyAlignment="1">
      <alignment horizontal="right" vertical="top" wrapText="1"/>
    </xf>
    <xf numFmtId="0" fontId="14" fillId="0" borderId="0" xfId="0" applyNumberFormat="1" applyFont="1" applyFill="1" applyBorder="1" applyAlignment="1">
      <alignment horizontal="left" vertical="top" wrapText="1"/>
    </xf>
    <xf numFmtId="164" fontId="24" fillId="0" borderId="0" xfId="0" applyNumberFormat="1" applyFont="1" applyFill="1" applyBorder="1" applyAlignment="1"/>
    <xf numFmtId="0" fontId="13" fillId="4" borderId="0" xfId="0" applyNumberFormat="1" applyFont="1" applyFill="1" applyBorder="1" applyAlignment="1">
      <alignment horizontal="right" vertical="top" wrapText="1"/>
    </xf>
    <xf numFmtId="0" fontId="11" fillId="0" borderId="0" xfId="0" applyNumberFormat="1" applyFont="1" applyFill="1" applyBorder="1" applyAlignment="1">
      <alignment horizontal="left" vertical="top" wrapText="1"/>
    </xf>
    <xf numFmtId="164" fontId="12" fillId="0" borderId="0" xfId="0" applyNumberFormat="1" applyFont="1" applyFill="1" applyBorder="1" applyAlignment="1">
      <alignment horizontal="right" vertical="top" wrapText="1"/>
    </xf>
    <xf numFmtId="0" fontId="29" fillId="0" borderId="0" xfId="0" applyNumberFormat="1" applyFont="1" applyFill="1" applyBorder="1" applyAlignment="1">
      <alignment horizontal="left" vertical="top" wrapText="1"/>
    </xf>
    <xf numFmtId="0" fontId="11" fillId="0" borderId="0" xfId="0" applyNumberFormat="1" applyFont="1" applyFill="1" applyBorder="1" applyAlignment="1">
      <alignment wrapText="1"/>
    </xf>
    <xf numFmtId="0" fontId="12" fillId="0" borderId="0" xfId="0" applyNumberFormat="1" applyFont="1" applyFill="1" applyBorder="1" applyAlignment="1">
      <alignment wrapText="1"/>
    </xf>
    <xf numFmtId="164" fontId="25" fillId="0" borderId="0" xfId="0" applyNumberFormat="1" applyFont="1" applyFill="1" applyBorder="1" applyAlignment="1"/>
    <xf numFmtId="164" fontId="12" fillId="0" borderId="0" xfId="0" applyNumberFormat="1" applyFont="1" applyFill="1" applyBorder="1" applyAlignment="1">
      <alignment horizontal="right" vertical="top"/>
    </xf>
    <xf numFmtId="0" fontId="13" fillId="4" borderId="0" xfId="0" applyNumberFormat="1" applyFont="1" applyFill="1" applyBorder="1" applyAlignment="1"/>
    <xf numFmtId="164" fontId="13" fillId="4" borderId="0" xfId="0" applyNumberFormat="1" applyFont="1" applyFill="1" applyBorder="1" applyAlignment="1"/>
    <xf numFmtId="164" fontId="31" fillId="0" borderId="0" xfId="0" applyNumberFormat="1" applyFont="1" applyFill="1" applyBorder="1" applyAlignment="1">
      <alignment horizontal="right" vertical="top" wrapText="1"/>
    </xf>
    <xf numFmtId="4" fontId="13" fillId="4" borderId="0" xfId="0" applyNumberFormat="1" applyFont="1" applyFill="1" applyBorder="1" applyAlignment="1">
      <alignment wrapText="1"/>
    </xf>
    <xf numFmtId="0" fontId="17" fillId="4" borderId="0" xfId="0" applyNumberFormat="1" applyFont="1" applyFill="1" applyBorder="1" applyAlignment="1"/>
    <xf numFmtId="0" fontId="16" fillId="4" borderId="0" xfId="0" applyNumberFormat="1" applyFont="1" applyFill="1" applyBorder="1" applyAlignment="1">
      <alignment horizontal="left" vertical="top" wrapText="1"/>
    </xf>
    <xf numFmtId="0" fontId="13" fillId="4" borderId="0" xfId="0" applyNumberFormat="1" applyFont="1" applyFill="1" applyBorder="1" applyAlignment="1">
      <alignment vertical="top" wrapText="1"/>
    </xf>
    <xf numFmtId="164" fontId="13" fillId="4" borderId="0" xfId="0" applyNumberFormat="1" applyFont="1" applyFill="1" applyBorder="1" applyAlignment="1">
      <alignment horizontal="right" vertical="top"/>
    </xf>
    <xf numFmtId="0" fontId="13" fillId="4" borderId="0" xfId="0" applyNumberFormat="1" applyFont="1" applyFill="1" applyBorder="1" applyAlignment="1">
      <alignment vertical="top"/>
    </xf>
    <xf numFmtId="164" fontId="16" fillId="4" borderId="0" xfId="0" applyNumberFormat="1" applyFont="1" applyFill="1" applyBorder="1" applyAlignment="1">
      <alignment horizontal="left" vertical="top" wrapText="1"/>
    </xf>
    <xf numFmtId="164" fontId="13" fillId="4" borderId="0" xfId="0" applyNumberFormat="1" applyFont="1" applyFill="1" applyBorder="1" applyAlignment="1">
      <alignment horizontal="left" vertical="top" wrapText="1"/>
    </xf>
    <xf numFmtId="0" fontId="17" fillId="4" borderId="0" xfId="0" quotePrefix="1" applyNumberFormat="1" applyFont="1" applyFill="1" applyBorder="1" applyAlignment="1">
      <alignment horizontal="left" vertical="top" wrapText="1"/>
    </xf>
    <xf numFmtId="164" fontId="17" fillId="4" borderId="0" xfId="0" applyNumberFormat="1" applyFont="1" applyFill="1" applyBorder="1" applyAlignment="1">
      <alignment horizontal="right" vertical="top"/>
    </xf>
    <xf numFmtId="164" fontId="25" fillId="4" borderId="0" xfId="0" applyNumberFormat="1" applyFont="1" applyFill="1" applyBorder="1" applyAlignment="1">
      <alignment horizontal="right" vertical="top"/>
    </xf>
    <xf numFmtId="164" fontId="30" fillId="4" borderId="0" xfId="0" applyNumberFormat="1" applyFont="1" applyFill="1" applyBorder="1" applyAlignment="1">
      <alignment horizontal="right" vertical="top" wrapText="1"/>
    </xf>
    <xf numFmtId="2" fontId="25" fillId="4" borderId="0" xfId="0" applyNumberFormat="1" applyFont="1" applyFill="1" applyBorder="1" applyAlignment="1">
      <alignment horizontal="right" vertical="top"/>
    </xf>
    <xf numFmtId="0" fontId="29" fillId="0" borderId="0" xfId="0" applyNumberFormat="1" applyFont="1" applyFill="1" applyBorder="1" applyAlignment="1">
      <alignment vertical="top" wrapText="1"/>
    </xf>
    <xf numFmtId="0" fontId="25" fillId="0" borderId="0" xfId="0" applyNumberFormat="1" applyFont="1" applyFill="1" applyBorder="1" applyAlignment="1">
      <alignment horizontal="left" vertical="top" wrapText="1"/>
    </xf>
    <xf numFmtId="0" fontId="24" fillId="0" borderId="0" xfId="0" applyNumberFormat="1" applyFont="1" applyFill="1" applyBorder="1" applyAlignment="1"/>
    <xf numFmtId="0" fontId="25" fillId="4" borderId="0" xfId="0" applyNumberFormat="1" applyFont="1" applyFill="1" applyBorder="1" applyAlignment="1">
      <alignment horizontal="left" vertical="top" wrapText="1" indent="7"/>
    </xf>
    <xf numFmtId="164" fontId="25" fillId="4" borderId="0" xfId="0" applyNumberFormat="1" applyFont="1" applyFill="1" applyBorder="1" applyAlignment="1"/>
    <xf numFmtId="0" fontId="11" fillId="0" borderId="0" xfId="0" applyNumberFormat="1" applyFont="1" applyFill="1" applyBorder="1" applyAlignment="1">
      <alignment horizontal="left" vertical="top" wrapText="1"/>
    </xf>
    <xf numFmtId="0" fontId="34" fillId="0" borderId="0" xfId="0" applyNumberFormat="1" applyFont="1" applyFill="1" applyBorder="1" applyAlignment="1"/>
    <xf numFmtId="0" fontId="32" fillId="0" borderId="0" xfId="0" applyNumberFormat="1" applyFont="1" applyFill="1" applyBorder="1" applyAlignment="1">
      <alignment vertical="top" wrapText="1"/>
    </xf>
    <xf numFmtId="0" fontId="33" fillId="2" borderId="0" xfId="0" applyNumberFormat="1" applyFont="1" applyFill="1" applyBorder="1" applyAlignment="1"/>
    <xf numFmtId="0" fontId="14" fillId="0" borderId="0" xfId="0" applyNumberFormat="1" applyFont="1" applyFill="1" applyBorder="1" applyAlignment="1">
      <alignment horizontal="left" vertical="top" wrapText="1"/>
    </xf>
    <xf numFmtId="169" fontId="11" fillId="0" borderId="0" xfId="0" applyNumberFormat="1" applyFont="1" applyFill="1" applyBorder="1" applyAlignment="1">
      <alignment vertical="top"/>
    </xf>
    <xf numFmtId="164" fontId="24" fillId="4" borderId="0" xfId="0" applyNumberFormat="1" applyFont="1" applyFill="1" applyBorder="1" applyAlignment="1"/>
    <xf numFmtId="170" fontId="0" fillId="0" borderId="0" xfId="0" applyNumberFormat="1" applyFont="1" applyFill="1" applyBorder="1" applyAlignment="1"/>
    <xf numFmtId="0" fontId="14" fillId="0" borderId="0" xfId="0" applyNumberFormat="1" applyFont="1" applyFill="1" applyBorder="1" applyAlignment="1">
      <alignment horizontal="left" vertical="top" wrapText="1"/>
    </xf>
    <xf numFmtId="3" fontId="5" fillId="0" borderId="0" xfId="0" applyNumberFormat="1" applyFont="1" applyFill="1" applyBorder="1" applyAlignment="1"/>
    <xf numFmtId="2" fontId="0" fillId="0" borderId="0" xfId="0" applyNumberFormat="1" applyFont="1" applyFill="1" applyBorder="1" applyAlignment="1"/>
    <xf numFmtId="164" fontId="25" fillId="0" borderId="0" xfId="0" applyNumberFormat="1" applyFont="1" applyFill="1" applyBorder="1" applyAlignment="1">
      <alignment horizontal="right" vertical="top"/>
    </xf>
    <xf numFmtId="0" fontId="35" fillId="0" borderId="0" xfId="0" applyNumberFormat="1" applyFont="1" applyFill="1" applyBorder="1" applyAlignment="1">
      <alignment vertical="center"/>
    </xf>
    <xf numFmtId="0" fontId="17" fillId="0" borderId="0" xfId="0" applyNumberFormat="1" applyFont="1" applyFill="1" applyBorder="1" applyAlignment="1">
      <alignment horizontal="left" vertical="top" wrapText="1"/>
    </xf>
    <xf numFmtId="166" fontId="36" fillId="0" borderId="0" xfId="6" applyNumberFormat="1" applyFont="1" applyFill="1" applyAlignment="1"/>
    <xf numFmtId="43" fontId="36" fillId="0" borderId="0" xfId="6" applyFont="1" applyFill="1" applyAlignment="1"/>
    <xf numFmtId="43" fontId="37" fillId="0" borderId="0" xfId="6" applyFont="1" applyFill="1"/>
    <xf numFmtId="43" fontId="36" fillId="0" borderId="0" xfId="6" applyFont="1" applyFill="1" applyAlignment="1">
      <alignment horizontal="right"/>
    </xf>
    <xf numFmtId="43" fontId="38" fillId="0" borderId="0" xfId="6" applyFont="1" applyFill="1" applyAlignment="1">
      <alignment horizontal="right"/>
    </xf>
    <xf numFmtId="166" fontId="38" fillId="0" borderId="0" xfId="6" applyNumberFormat="1" applyFont="1" applyFill="1" applyAlignment="1">
      <alignment horizontal="right"/>
    </xf>
    <xf numFmtId="167" fontId="38" fillId="0" borderId="0" xfId="6" applyNumberFormat="1" applyFont="1" applyFill="1" applyAlignment="1">
      <alignment horizontal="right"/>
    </xf>
    <xf numFmtId="3" fontId="36" fillId="0" borderId="0" xfId="0" applyNumberFormat="1" applyFont="1" applyFill="1" applyAlignment="1"/>
    <xf numFmtId="3" fontId="36" fillId="0" borderId="0" xfId="0" applyNumberFormat="1" applyFont="1" applyFill="1" applyAlignment="1">
      <alignment horizontal="right"/>
    </xf>
    <xf numFmtId="43" fontId="38" fillId="0" borderId="0" xfId="6" applyFont="1" applyFill="1" applyAlignment="1"/>
    <xf numFmtId="3" fontId="38" fillId="0" borderId="0" xfId="0" applyNumberFormat="1" applyFont="1" applyFill="1" applyAlignment="1"/>
    <xf numFmtId="0" fontId="39" fillId="0" borderId="0" xfId="0" applyFont="1" applyFill="1"/>
    <xf numFmtId="0" fontId="36" fillId="0" borderId="0" xfId="0" applyFont="1" applyFill="1"/>
    <xf numFmtId="3" fontId="36" fillId="0" borderId="0" xfId="0" applyNumberFormat="1" applyFont="1" applyFill="1" applyBorder="1" applyAlignment="1">
      <alignment horizontal="left"/>
    </xf>
    <xf numFmtId="0" fontId="36" fillId="0" borderId="0" xfId="0" applyNumberFormat="1" applyFont="1" applyFill="1" applyBorder="1" applyAlignment="1">
      <alignment horizontal="left"/>
    </xf>
    <xf numFmtId="0" fontId="37" fillId="0" borderId="0" xfId="0" applyFont="1" applyFill="1" applyAlignment="1">
      <alignment wrapText="1" shrinkToFit="1"/>
    </xf>
    <xf numFmtId="0" fontId="36" fillId="0" borderId="0" xfId="0" applyFont="1" applyFill="1" applyAlignment="1">
      <alignment wrapText="1" shrinkToFit="1"/>
    </xf>
    <xf numFmtId="0" fontId="36" fillId="0" borderId="0" xfId="0" applyFont="1"/>
    <xf numFmtId="0" fontId="36" fillId="0" borderId="0" xfId="0" applyFont="1" applyAlignment="1">
      <alignment wrapText="1"/>
    </xf>
    <xf numFmtId="0" fontId="38" fillId="0" borderId="0" xfId="0" applyFont="1"/>
    <xf numFmtId="3" fontId="38" fillId="0" borderId="0" xfId="0" applyNumberFormat="1" applyFont="1" applyFill="1" applyAlignment="1">
      <alignment horizontal="right"/>
    </xf>
    <xf numFmtId="171" fontId="0" fillId="0" borderId="0" xfId="0" applyNumberFormat="1" applyFont="1" applyFill="1" applyBorder="1" applyAlignment="1"/>
    <xf numFmtId="3" fontId="5" fillId="2" borderId="0" xfId="0" applyNumberFormat="1" applyFont="1" applyFill="1" applyBorder="1" applyAlignment="1"/>
    <xf numFmtId="165" fontId="5" fillId="2" borderId="0" xfId="0" applyNumberFormat="1" applyFont="1" applyFill="1" applyBorder="1" applyAlignment="1"/>
    <xf numFmtId="3" fontId="40" fillId="2" borderId="0" xfId="0" applyNumberFormat="1" applyFont="1" applyFill="1" applyBorder="1" applyAlignment="1"/>
    <xf numFmtId="172" fontId="0" fillId="0" borderId="0" xfId="0" applyNumberFormat="1" applyFont="1" applyFill="1" applyBorder="1" applyAlignment="1"/>
    <xf numFmtId="167" fontId="0" fillId="0" borderId="0" xfId="0" applyNumberFormat="1" applyFont="1" applyFill="1" applyBorder="1" applyAlignment="1"/>
    <xf numFmtId="165" fontId="0" fillId="0" borderId="0" xfId="0" applyNumberFormat="1" applyFont="1" applyFill="1" applyBorder="1" applyAlignment="1"/>
    <xf numFmtId="164" fontId="0" fillId="2" borderId="0" xfId="0" applyNumberFormat="1" applyFont="1" applyFill="1" applyBorder="1" applyAlignment="1"/>
    <xf numFmtId="0" fontId="41" fillId="0" borderId="0" xfId="0" applyFont="1" applyFill="1"/>
    <xf numFmtId="167" fontId="14" fillId="0" borderId="0" xfId="6" applyNumberFormat="1" applyFont="1" applyFill="1" applyAlignment="1">
      <alignment horizontal="right"/>
    </xf>
    <xf numFmtId="3" fontId="14" fillId="0" borderId="0" xfId="0" applyNumberFormat="1" applyFont="1" applyFill="1" applyAlignment="1">
      <alignment horizontal="right"/>
    </xf>
    <xf numFmtId="0" fontId="41" fillId="4" borderId="0" xfId="0" applyFont="1" applyFill="1"/>
    <xf numFmtId="0" fontId="42" fillId="0" borderId="0" xfId="0" applyFont="1"/>
    <xf numFmtId="167" fontId="41" fillId="0" borderId="0" xfId="6" applyNumberFormat="1" applyFont="1" applyFill="1" applyAlignment="1">
      <alignment horizontal="right" wrapText="1"/>
    </xf>
    <xf numFmtId="3" fontId="41" fillId="0" borderId="0" xfId="0" applyNumberFormat="1" applyFont="1" applyFill="1" applyAlignment="1">
      <alignment horizontal="right" wrapText="1"/>
    </xf>
    <xf numFmtId="0" fontId="12" fillId="0" borderId="0" xfId="0" applyNumberFormat="1" applyFont="1" applyFill="1" applyBorder="1" applyAlignment="1"/>
    <xf numFmtId="164" fontId="17" fillId="4" borderId="0" xfId="0" applyNumberFormat="1" applyFont="1" applyFill="1" applyBorder="1" applyAlignment="1">
      <alignment horizontal="right"/>
    </xf>
    <xf numFmtId="0" fontId="14" fillId="0" borderId="0" xfId="0" applyFont="1" applyBorder="1"/>
    <xf numFmtId="167" fontId="14" fillId="0" borderId="0" xfId="6" applyNumberFormat="1" applyFont="1" applyFill="1" applyBorder="1" applyAlignment="1">
      <alignment horizontal="right"/>
    </xf>
    <xf numFmtId="3" fontId="14" fillId="0" borderId="0" xfId="0" applyNumberFormat="1" applyFont="1" applyFill="1" applyBorder="1" applyAlignment="1">
      <alignment horizontal="right"/>
    </xf>
    <xf numFmtId="0" fontId="42" fillId="0" borderId="0" xfId="0" applyFont="1" applyBorder="1"/>
    <xf numFmtId="4" fontId="41" fillId="0" borderId="0" xfId="0" applyNumberFormat="1" applyFont="1" applyBorder="1" applyAlignment="1">
      <alignment wrapText="1" shrinkToFit="1"/>
    </xf>
    <xf numFmtId="3" fontId="41" fillId="0" borderId="0" xfId="0" applyNumberFormat="1" applyFont="1" applyFill="1" applyBorder="1" applyAlignment="1">
      <alignment wrapText="1"/>
    </xf>
    <xf numFmtId="4" fontId="11" fillId="0" borderId="0" xfId="0" applyNumberFormat="1" applyFont="1" applyFill="1" applyBorder="1" applyAlignment="1">
      <alignment wrapText="1"/>
    </xf>
    <xf numFmtId="3" fontId="11" fillId="0" borderId="0" xfId="0" applyNumberFormat="1" applyFont="1" applyFill="1" applyBorder="1"/>
    <xf numFmtId="167" fontId="11" fillId="0" borderId="0" xfId="6" applyNumberFormat="1" applyFont="1" applyFill="1" applyBorder="1" applyAlignment="1"/>
    <xf numFmtId="3" fontId="13" fillId="4" borderId="0" xfId="0" applyNumberFormat="1" applyFont="1" applyFill="1" applyBorder="1"/>
    <xf numFmtId="167" fontId="17" fillId="4" borderId="0" xfId="6" applyNumberFormat="1" applyFont="1" applyFill="1" applyBorder="1" applyAlignment="1"/>
    <xf numFmtId="167" fontId="11" fillId="0" borderId="0" xfId="6" applyNumberFormat="1" applyFont="1" applyFill="1" applyBorder="1" applyAlignment="1">
      <alignment wrapText="1"/>
    </xf>
    <xf numFmtId="167" fontId="11" fillId="0" borderId="0" xfId="6" applyNumberFormat="1" applyFont="1" applyFill="1" applyBorder="1"/>
    <xf numFmtId="167" fontId="11" fillId="0" borderId="0" xfId="6" applyNumberFormat="1" applyFont="1" applyFill="1" applyBorder="1" applyAlignment="1">
      <alignment horizontal="right"/>
    </xf>
    <xf numFmtId="167" fontId="17" fillId="4" borderId="0" xfId="6" applyNumberFormat="1" applyFont="1" applyFill="1" applyBorder="1" applyAlignment="1">
      <alignment horizontal="right"/>
    </xf>
    <xf numFmtId="4" fontId="12" fillId="0" borderId="0" xfId="0" applyNumberFormat="1" applyFont="1" applyFill="1" applyBorder="1" applyAlignment="1">
      <alignment wrapText="1"/>
    </xf>
    <xf numFmtId="170" fontId="11" fillId="0" borderId="0" xfId="0" applyNumberFormat="1" applyFont="1" applyFill="1" applyBorder="1" applyAlignment="1"/>
    <xf numFmtId="167" fontId="17" fillId="4" borderId="0" xfId="6" applyNumberFormat="1" applyFont="1" applyFill="1" applyBorder="1"/>
    <xf numFmtId="4" fontId="13" fillId="0" borderId="0" xfId="0" applyNumberFormat="1" applyFont="1" applyFill="1" applyBorder="1" applyAlignment="1">
      <alignment wrapText="1"/>
    </xf>
    <xf numFmtId="3" fontId="13" fillId="0" borderId="0" xfId="0" applyNumberFormat="1" applyFont="1" applyFill="1" applyBorder="1"/>
    <xf numFmtId="167" fontId="17" fillId="0" borderId="0" xfId="6" applyNumberFormat="1" applyFont="1" applyFill="1" applyBorder="1" applyAlignment="1"/>
    <xf numFmtId="0" fontId="29" fillId="0" borderId="0" xfId="0" applyNumberFormat="1" applyFont="1" applyFill="1" applyBorder="1" applyAlignment="1"/>
    <xf numFmtId="0" fontId="41" fillId="2" borderId="0" xfId="4" applyFont="1" applyFill="1" applyBorder="1" applyAlignment="1">
      <alignment wrapText="1"/>
    </xf>
    <xf numFmtId="0" fontId="11" fillId="2" borderId="0" xfId="0" applyNumberFormat="1" applyFont="1" applyFill="1" applyBorder="1" applyAlignment="1"/>
    <xf numFmtId="0" fontId="13" fillId="4" borderId="0" xfId="4" applyFont="1" applyFill="1" applyBorder="1" applyAlignment="1">
      <alignment wrapText="1"/>
    </xf>
    <xf numFmtId="164" fontId="17" fillId="4" borderId="0" xfId="0" applyNumberFormat="1" applyFont="1" applyFill="1" applyBorder="1" applyAlignment="1"/>
    <xf numFmtId="0" fontId="14" fillId="0" borderId="0" xfId="4" applyFont="1" applyBorder="1" applyAlignment="1">
      <alignment wrapText="1"/>
    </xf>
    <xf numFmtId="0" fontId="42" fillId="0" borderId="0" xfId="4" applyFont="1" applyFill="1" applyBorder="1" applyAlignment="1">
      <alignment wrapText="1"/>
    </xf>
    <xf numFmtId="164" fontId="12" fillId="0" borderId="0" xfId="0" applyNumberFormat="1" applyFont="1" applyFill="1" applyBorder="1" applyAlignment="1"/>
    <xf numFmtId="0" fontId="14" fillId="0" borderId="0" xfId="4" applyFont="1" applyFill="1" applyBorder="1" applyAlignment="1">
      <alignment wrapText="1"/>
    </xf>
    <xf numFmtId="4" fontId="11" fillId="0" borderId="0" xfId="0" applyNumberFormat="1" applyFont="1" applyFill="1" applyBorder="1" applyAlignment="1"/>
    <xf numFmtId="0" fontId="41" fillId="0" borderId="0" xfId="4" applyFont="1" applyBorder="1" applyAlignment="1">
      <alignment wrapText="1"/>
    </xf>
    <xf numFmtId="0" fontId="42" fillId="0" borderId="0" xfId="4" applyFont="1" applyBorder="1" applyAlignment="1">
      <alignment wrapText="1"/>
    </xf>
    <xf numFmtId="0" fontId="43" fillId="0" borderId="0" xfId="0" applyNumberFormat="1" applyFont="1" applyFill="1" applyBorder="1" applyAlignment="1"/>
    <xf numFmtId="0" fontId="13" fillId="0" borderId="0" xfId="4" applyFont="1" applyFill="1" applyBorder="1" applyAlignment="1">
      <alignment wrapText="1"/>
    </xf>
    <xf numFmtId="0" fontId="13" fillId="0" borderId="0" xfId="0" applyNumberFormat="1" applyFont="1" applyFill="1" applyBorder="1" applyAlignment="1"/>
    <xf numFmtId="0" fontId="17" fillId="0" borderId="0" xfId="0" applyNumberFormat="1" applyFont="1" applyFill="1" applyBorder="1" applyAlignment="1"/>
    <xf numFmtId="0" fontId="41" fillId="0" borderId="0" xfId="5" applyFont="1" applyBorder="1" applyAlignment="1">
      <alignment wrapText="1"/>
    </xf>
    <xf numFmtId="0" fontId="13" fillId="4" borderId="0" xfId="5" applyFont="1" applyFill="1" applyBorder="1" applyAlignment="1">
      <alignment wrapText="1"/>
    </xf>
    <xf numFmtId="0" fontId="12" fillId="0" borderId="0" xfId="5" applyFont="1" applyFill="1" applyBorder="1" applyAlignment="1">
      <alignment wrapText="1"/>
    </xf>
    <xf numFmtId="1" fontId="13" fillId="4" borderId="0" xfId="0" applyNumberFormat="1" applyFont="1" applyFill="1" applyBorder="1" applyAlignment="1"/>
    <xf numFmtId="164" fontId="17" fillId="4" borderId="0" xfId="0" applyNumberFormat="1" applyFont="1" applyFill="1" applyBorder="1" applyAlignment="1">
      <alignment horizontal="right" wrapText="1"/>
    </xf>
    <xf numFmtId="0" fontId="13" fillId="0" borderId="0" xfId="5" applyFont="1" applyFill="1" applyBorder="1" applyAlignment="1">
      <alignment wrapText="1"/>
    </xf>
    <xf numFmtId="1" fontId="17" fillId="0" borderId="0" xfId="0" applyNumberFormat="1" applyFont="1" applyFill="1" applyBorder="1" applyAlignment="1"/>
    <xf numFmtId="164" fontId="11" fillId="0" borderId="0" xfId="0" applyNumberFormat="1" applyFont="1" applyFill="1" applyBorder="1" applyAlignment="1">
      <alignment wrapText="1"/>
    </xf>
    <xf numFmtId="167" fontId="17" fillId="4" borderId="0" xfId="0" applyNumberFormat="1" applyFont="1" applyFill="1" applyBorder="1" applyAlignment="1"/>
    <xf numFmtId="168" fontId="17" fillId="4" borderId="0" xfId="0" applyNumberFormat="1" applyFont="1" applyFill="1" applyBorder="1" applyAlignment="1">
      <alignment horizontal="right"/>
    </xf>
    <xf numFmtId="3" fontId="37" fillId="0" borderId="0" xfId="0" applyNumberFormat="1" applyFont="1" applyFill="1" applyAlignment="1">
      <alignment horizontal="right"/>
    </xf>
    <xf numFmtId="171" fontId="11" fillId="0" borderId="0" xfId="0" applyNumberFormat="1" applyFont="1" applyFill="1" applyBorder="1" applyAlignment="1">
      <alignment horizontal="left" vertical="top" wrapText="1"/>
    </xf>
    <xf numFmtId="0" fontId="11" fillId="0" borderId="0" xfId="0" applyNumberFormat="1" applyFont="1" applyFill="1" applyBorder="1" applyAlignment="1">
      <alignment horizontal="left" vertical="top" wrapText="1"/>
    </xf>
  </cellXfs>
  <cellStyles count="7">
    <cellStyle name="Normaali" xfId="0" builtinId="0"/>
    <cellStyle name="Normaali 2" xfId="2"/>
    <cellStyle name="Normaali 3" xfId="1"/>
    <cellStyle name="Normaali 4" xfId="3"/>
    <cellStyle name="Normaali 5" xfId="4"/>
    <cellStyle name="Normaali 6" xfId="5"/>
    <cellStyle name="Pilkku" xfId="6"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9"/>
  <sheetViews>
    <sheetView tabSelected="1" topLeftCell="A20" zoomScaleNormal="100" workbookViewId="0">
      <selection activeCell="G29" sqref="G29"/>
    </sheetView>
  </sheetViews>
  <sheetFormatPr defaultColWidth="9.140625" defaultRowHeight="12.75"/>
  <cols>
    <col min="1" max="1" width="100.7109375" style="1" customWidth="1"/>
    <col min="2" max="2" width="17.85546875" style="1" bestFit="1" customWidth="1"/>
    <col min="3" max="3" width="9.5703125" style="1" customWidth="1"/>
    <col min="4" max="4" width="10.140625" style="1" customWidth="1"/>
    <col min="5" max="5" width="10.140625" style="1" bestFit="1" customWidth="1"/>
    <col min="6" max="16384" width="9.140625" style="1"/>
  </cols>
  <sheetData>
    <row r="1" spans="1:5">
      <c r="A1" s="11" t="s">
        <v>208</v>
      </c>
    </row>
    <row r="2" spans="1:5">
      <c r="A2" s="100" t="s">
        <v>180</v>
      </c>
    </row>
    <row r="3" spans="1:5">
      <c r="A3" s="11" t="s">
        <v>26</v>
      </c>
      <c r="B3" s="2" t="s">
        <v>0</v>
      </c>
      <c r="C3" s="2" t="s">
        <v>1</v>
      </c>
      <c r="D3" s="1">
        <v>2015</v>
      </c>
    </row>
    <row r="4" spans="1:5">
      <c r="A4" s="1" t="s">
        <v>198</v>
      </c>
      <c r="B4" s="3">
        <v>67345</v>
      </c>
      <c r="C4" s="3">
        <v>67171</v>
      </c>
      <c r="D4" s="133">
        <v>65646</v>
      </c>
    </row>
    <row r="5" spans="1:5">
      <c r="A5" s="20" t="s">
        <v>197</v>
      </c>
      <c r="B5" s="21">
        <f>(B11/100)*B4</f>
        <v>48555.744999999995</v>
      </c>
      <c r="C5" s="21">
        <f>(C11/100)*C4</f>
        <v>47086.870999999999</v>
      </c>
      <c r="D5" s="135">
        <f>(D11/100)*D4</f>
        <v>46346.076000000001</v>
      </c>
    </row>
    <row r="6" spans="1:5">
      <c r="A6" s="1" t="s">
        <v>8</v>
      </c>
      <c r="B6" s="5">
        <f>144756000/1000000</f>
        <v>144.756</v>
      </c>
      <c r="C6" s="5">
        <f>152483000/1000000</f>
        <v>152.483</v>
      </c>
      <c r="D6" s="134">
        <v>152.19999999999999</v>
      </c>
    </row>
    <row r="7" spans="1:5">
      <c r="A7" s="1" t="s">
        <v>2</v>
      </c>
      <c r="B7" s="3">
        <v>102010</v>
      </c>
      <c r="C7" s="3">
        <v>101911</v>
      </c>
      <c r="D7" s="133">
        <v>100428</v>
      </c>
      <c r="E7" s="10" t="s">
        <v>209</v>
      </c>
    </row>
    <row r="8" spans="1:5">
      <c r="A8" s="10" t="s">
        <v>24</v>
      </c>
      <c r="D8" s="20"/>
    </row>
    <row r="9" spans="1:5" ht="11.25" customHeight="1">
      <c r="D9" s="20"/>
    </row>
    <row r="10" spans="1:5">
      <c r="A10" s="34" t="s">
        <v>196</v>
      </c>
      <c r="D10" s="20"/>
    </row>
    <row r="11" spans="1:5">
      <c r="A11" s="20" t="s">
        <v>10</v>
      </c>
      <c r="B11" s="20">
        <v>72.099999999999994</v>
      </c>
      <c r="C11" s="33">
        <v>70.099999999999994</v>
      </c>
      <c r="D11" s="33">
        <v>70.599999999999994</v>
      </c>
    </row>
    <row r="12" spans="1:5">
      <c r="A12" s="20" t="s">
        <v>3</v>
      </c>
      <c r="B12" s="20">
        <v>29</v>
      </c>
      <c r="C12" s="20">
        <v>29</v>
      </c>
      <c r="D12" s="20">
        <v>29</v>
      </c>
    </row>
    <row r="13" spans="1:5" ht="12.75" customHeight="1">
      <c r="A13" s="20" t="s">
        <v>4</v>
      </c>
      <c r="B13" s="20">
        <v>25</v>
      </c>
      <c r="C13" s="20">
        <v>25</v>
      </c>
      <c r="D13" s="20">
        <v>25</v>
      </c>
    </row>
    <row r="14" spans="1:5">
      <c r="A14" s="20" t="s">
        <v>7</v>
      </c>
      <c r="B14" s="20">
        <v>5</v>
      </c>
      <c r="C14" s="20">
        <v>5</v>
      </c>
      <c r="D14" s="20">
        <v>5</v>
      </c>
    </row>
    <row r="15" spans="1:5">
      <c r="A15" s="20" t="s">
        <v>199</v>
      </c>
      <c r="B15" s="20">
        <v>6.3</v>
      </c>
      <c r="C15" s="20">
        <v>6.3</v>
      </c>
      <c r="D15" s="20">
        <v>6.4</v>
      </c>
    </row>
    <row r="16" spans="1:5" ht="14.25">
      <c r="A16" s="20" t="s">
        <v>83</v>
      </c>
      <c r="B16" s="33">
        <v>3.1</v>
      </c>
      <c r="C16" s="33">
        <v>3.1</v>
      </c>
      <c r="D16" s="20">
        <v>3.1</v>
      </c>
    </row>
    <row r="17" spans="1:5">
      <c r="A17" s="20" t="s">
        <v>9</v>
      </c>
      <c r="B17" s="20"/>
      <c r="C17" s="20"/>
      <c r="D17" s="33">
        <v>-1.8</v>
      </c>
    </row>
    <row r="18" spans="1:5">
      <c r="A18" s="7" t="s">
        <v>15</v>
      </c>
      <c r="B18" s="4"/>
      <c r="C18" s="4"/>
      <c r="D18" s="6"/>
    </row>
    <row r="19" spans="1:5" ht="14.25">
      <c r="A19" s="8" t="s">
        <v>137</v>
      </c>
      <c r="B19" s="9">
        <f>0.64*B5</f>
        <v>31075.676799999997</v>
      </c>
      <c r="C19" s="9">
        <f>0.64*C5</f>
        <v>30135.597440000001</v>
      </c>
      <c r="D19" s="9">
        <f>0.64*D5</f>
        <v>29661.48864</v>
      </c>
    </row>
    <row r="20" spans="1:5" ht="15.75" customHeight="1">
      <c r="A20" s="8" t="s">
        <v>200</v>
      </c>
      <c r="B20" s="9">
        <f>0.2*(B5-B19)</f>
        <v>3496.0136399999997</v>
      </c>
      <c r="C20" s="9">
        <f t="shared" ref="C20:D20" si="0">0.2*(C5-C19)</f>
        <v>3390.2547119999999</v>
      </c>
      <c r="D20" s="9">
        <f t="shared" si="0"/>
        <v>3336.9174720000005</v>
      </c>
      <c r="E20" s="3"/>
    </row>
    <row r="21" spans="1:5">
      <c r="A21" s="8" t="s">
        <v>194</v>
      </c>
      <c r="B21" s="9">
        <f>(B5-B19)*0.8</f>
        <v>13984.054559999999</v>
      </c>
      <c r="C21" s="9">
        <f>(C5-C19)*0.8</f>
        <v>13561.018848</v>
      </c>
      <c r="D21" s="9">
        <f>D5-(D19+D20)</f>
        <v>13347.669888000004</v>
      </c>
      <c r="E21" s="3"/>
    </row>
    <row r="22" spans="1:5" ht="17.25" customHeight="1">
      <c r="A22" s="30" t="s">
        <v>14</v>
      </c>
      <c r="B22" s="27"/>
      <c r="C22" s="26"/>
      <c r="D22" s="28"/>
      <c r="E22" s="3"/>
    </row>
    <row r="23" spans="1:5">
      <c r="A23" s="29" t="s">
        <v>11</v>
      </c>
      <c r="B23" s="26"/>
      <c r="C23" s="26"/>
      <c r="D23" s="26"/>
    </row>
    <row r="24" spans="1:5">
      <c r="A24" s="26" t="s">
        <v>5</v>
      </c>
      <c r="B24" s="27">
        <f>(B14*12)*B5</f>
        <v>2913344.6999999997</v>
      </c>
      <c r="C24" s="27">
        <f>(C14*12)*C5</f>
        <v>2825212.26</v>
      </c>
      <c r="D24" s="27">
        <f>(D14*12)*D5</f>
        <v>2780764.56</v>
      </c>
    </row>
    <row r="25" spans="1:5" s="11" customFormat="1">
      <c r="A25" s="30" t="s">
        <v>6</v>
      </c>
      <c r="B25" s="31">
        <f>(B12*B24)/1000000</f>
        <v>84.486996300000001</v>
      </c>
      <c r="C25" s="31">
        <f>(C12*C24)/1000000</f>
        <v>81.931155539999992</v>
      </c>
      <c r="D25" s="31">
        <f>(D12*D24)/1000000</f>
        <v>80.642172239999994</v>
      </c>
    </row>
    <row r="26" spans="1:5">
      <c r="A26" s="26"/>
      <c r="B26" s="28"/>
      <c r="C26" s="28"/>
      <c r="D26" s="28"/>
    </row>
    <row r="27" spans="1:5">
      <c r="A27" s="32" t="s">
        <v>28</v>
      </c>
      <c r="B27" s="28"/>
      <c r="C27" s="28"/>
      <c r="D27" s="28"/>
    </row>
    <row r="28" spans="1:5">
      <c r="A28" s="26" t="s">
        <v>13</v>
      </c>
      <c r="B28" s="27">
        <f>(B19)*(B14*12)</f>
        <v>1864540.6079999998</v>
      </c>
      <c r="C28" s="27">
        <f>(C19)*(C14*12)</f>
        <v>1808135.8464000002</v>
      </c>
      <c r="D28" s="27">
        <f>(D19)*(D14*12)</f>
        <v>1779689.3184</v>
      </c>
      <c r="E28" s="3"/>
    </row>
    <row r="29" spans="1:5">
      <c r="A29" s="26" t="s">
        <v>6</v>
      </c>
      <c r="B29" s="28">
        <f>(B12*B28)/1000000</f>
        <v>54.071677631999989</v>
      </c>
      <c r="C29" s="28">
        <f>(C12*C28)/1000000</f>
        <v>52.435939545600007</v>
      </c>
      <c r="D29" s="28">
        <f>(D12*D28)/1000000</f>
        <v>51.610990233599999</v>
      </c>
    </row>
    <row r="30" spans="1:5">
      <c r="A30" s="26"/>
      <c r="B30" s="28"/>
      <c r="C30" s="28"/>
      <c r="D30" s="28"/>
    </row>
    <row r="31" spans="1:5">
      <c r="A31" s="32" t="s">
        <v>27</v>
      </c>
      <c r="B31" s="28"/>
      <c r="C31" s="28"/>
      <c r="D31" s="28"/>
    </row>
    <row r="32" spans="1:5">
      <c r="A32" s="26" t="s">
        <v>13</v>
      </c>
      <c r="B32" s="27">
        <f>(B20)*(B14*12)</f>
        <v>209760.81839999999</v>
      </c>
      <c r="C32" s="27">
        <f>(C20)*(C14*12)</f>
        <v>203415.28271999999</v>
      </c>
      <c r="D32" s="27">
        <f>(D20)*(D14*12)</f>
        <v>200215.04832000003</v>
      </c>
    </row>
    <row r="33" spans="1:4">
      <c r="A33" s="26" t="s">
        <v>6</v>
      </c>
      <c r="B33" s="28">
        <f>(B13*B32)/1000000</f>
        <v>5.2440204599999998</v>
      </c>
      <c r="C33" s="28">
        <f>(C13*C32)/1000000</f>
        <v>5.0853820680000004</v>
      </c>
      <c r="D33" s="28">
        <f>(D13*D32)/1000000</f>
        <v>5.0053762080000004</v>
      </c>
    </row>
    <row r="34" spans="1:4">
      <c r="A34" s="26"/>
      <c r="B34" s="28"/>
      <c r="C34" s="28"/>
      <c r="D34" s="28"/>
    </row>
    <row r="35" spans="1:4">
      <c r="A35" s="32" t="s">
        <v>158</v>
      </c>
      <c r="B35" s="28"/>
      <c r="C35" s="28"/>
      <c r="D35" s="28"/>
    </row>
    <row r="36" spans="1:4">
      <c r="A36" s="26" t="s">
        <v>181</v>
      </c>
      <c r="B36" s="27">
        <f>(0.85*B21)*(B16*12)</f>
        <v>442175.80518719996</v>
      </c>
      <c r="C36" s="27">
        <f t="shared" ref="C36:D36" si="1">(0.85*C21)*(C16*12)</f>
        <v>428799.41597376001</v>
      </c>
      <c r="D36" s="27">
        <f t="shared" si="1"/>
        <v>422053.32185856014</v>
      </c>
    </row>
    <row r="37" spans="1:4">
      <c r="A37" s="26" t="s">
        <v>6</v>
      </c>
      <c r="B37" s="28">
        <f>(B13*B36)/1000000</f>
        <v>11.054395129679998</v>
      </c>
      <c r="C37" s="28">
        <f>(C13*C36)/1000000</f>
        <v>10.719985399344001</v>
      </c>
      <c r="D37" s="28">
        <f>(D13*D36)/1000000</f>
        <v>10.551333046464004</v>
      </c>
    </row>
    <row r="38" spans="1:4" ht="9" customHeight="1">
      <c r="A38" s="26"/>
      <c r="B38" s="28"/>
      <c r="C38" s="28"/>
      <c r="D38" s="28"/>
    </row>
    <row r="39" spans="1:4">
      <c r="A39" s="29" t="s">
        <v>12</v>
      </c>
      <c r="B39" s="31">
        <f>B29+B33+B37</f>
        <v>70.370093221679994</v>
      </c>
      <c r="C39" s="31">
        <f t="shared" ref="C39:D39" si="2">C29+C33+C37</f>
        <v>68.241307012944006</v>
      </c>
      <c r="D39" s="31">
        <f t="shared" si="2"/>
        <v>67.167699488064002</v>
      </c>
    </row>
    <row r="40" spans="1:4">
      <c r="A40" s="30" t="s">
        <v>210</v>
      </c>
      <c r="B40" s="31">
        <f>B39-B25</f>
        <v>-14.116903078320007</v>
      </c>
      <c r="C40" s="31">
        <f t="shared" ref="C40:D40" si="3">C39-C25</f>
        <v>-13.689848527055986</v>
      </c>
      <c r="D40" s="31">
        <f t="shared" si="3"/>
        <v>-13.474472751935991</v>
      </c>
    </row>
    <row r="41" spans="1:4" ht="9" customHeight="1"/>
    <row r="42" spans="1:4" ht="16.5" customHeight="1">
      <c r="A42" s="64" t="s">
        <v>84</v>
      </c>
      <c r="B42" s="25"/>
      <c r="C42" s="25"/>
      <c r="D42" s="25"/>
    </row>
    <row r="43" spans="1:4" ht="12.75" customHeight="1">
      <c r="A43" s="64" t="s">
        <v>85</v>
      </c>
      <c r="B43" s="25"/>
      <c r="C43" s="25"/>
      <c r="D43" s="25"/>
    </row>
    <row r="44" spans="1:4" ht="12.75" customHeight="1">
      <c r="A44" s="25"/>
      <c r="B44" s="25"/>
      <c r="C44" s="25"/>
      <c r="D44" s="25"/>
    </row>
    <row r="45" spans="1:4" ht="3" customHeight="1">
      <c r="A45" s="19"/>
      <c r="B45" s="19"/>
      <c r="C45" s="19"/>
      <c r="D45" s="19"/>
    </row>
    <row r="46" spans="1:4">
      <c r="A46" s="35" t="s">
        <v>16</v>
      </c>
      <c r="B46" s="35"/>
      <c r="C46" s="35"/>
      <c r="D46" s="35"/>
    </row>
    <row r="47" spans="1:4">
      <c r="A47" s="35" t="s">
        <v>17</v>
      </c>
      <c r="B47" s="36">
        <f>(B15*12)*B7</f>
        <v>7711955.9999999991</v>
      </c>
      <c r="C47" s="36">
        <f>(C15*12)*C7</f>
        <v>7704471.5999999996</v>
      </c>
      <c r="D47" s="36">
        <f>(D15*12)*D7</f>
        <v>7712870.4000000013</v>
      </c>
    </row>
    <row r="48" spans="1:4">
      <c r="A48" s="35" t="s">
        <v>86</v>
      </c>
      <c r="B48" s="36">
        <f>B24-(B28+B32+B36)</f>
        <v>396867.46841280023</v>
      </c>
      <c r="C48" s="36">
        <f>C24-(C28+C32+C36)</f>
        <v>384861.71490623942</v>
      </c>
      <c r="D48" s="36">
        <f>D24-(D28+D32+D36)</f>
        <v>378806.87142144004</v>
      </c>
    </row>
    <row r="49" spans="1:4">
      <c r="A49" s="35" t="s">
        <v>18</v>
      </c>
      <c r="B49" s="37">
        <f>B48/B47*100</f>
        <v>5.1461324262327262</v>
      </c>
      <c r="C49" s="37">
        <f t="shared" ref="C49:D49" si="4">C48/C47*100</f>
        <v>4.9953031808987323</v>
      </c>
      <c r="D49" s="37">
        <f t="shared" si="4"/>
        <v>4.9113605152945388</v>
      </c>
    </row>
  </sheetData>
  <printOptions gridLines="1"/>
  <pageMargins left="0.15748031496062992" right="0.15748031496062992" top="0.19685039370078741" bottom="0.19685039370078741" header="0.51181102362204722" footer="0.51181102362204722"/>
  <pageSetup paperSize="9" firstPageNumber="0" fitToWidth="0" fitToHeight="0" pageOrder="overThenDown" orientation="landscape" horizontalDpi="300" verticalDpi="300" r:id="rId1"/>
  <headerFooter alignWithMargins="0"/>
  <rowBreaks count="1" manualBreakCount="1">
    <brk id="4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3"/>
  <sheetViews>
    <sheetView workbookViewId="0">
      <pane ySplit="1" topLeftCell="A2" activePane="bottomLeft" state="frozen"/>
      <selection pane="bottomLeft" activeCell="D74" sqref="D74"/>
    </sheetView>
  </sheetViews>
  <sheetFormatPr defaultColWidth="9.140625" defaultRowHeight="15"/>
  <cols>
    <col min="1" max="1" width="64.42578125" style="12" customWidth="1"/>
    <col min="2" max="2" width="16.5703125" style="12" customWidth="1"/>
    <col min="3" max="3" width="62.140625" style="13" customWidth="1"/>
    <col min="4" max="4" width="11.28515625" style="13" customWidth="1"/>
    <col min="5" max="5" width="12" style="13" bestFit="1" customWidth="1"/>
    <col min="6" max="16384" width="9.140625" style="13"/>
  </cols>
  <sheetData>
    <row r="1" spans="1:4" ht="30.6" customHeight="1">
      <c r="A1" s="14" t="s">
        <v>215</v>
      </c>
      <c r="B1" s="14" t="s">
        <v>206</v>
      </c>
      <c r="C1" s="38" t="s">
        <v>22</v>
      </c>
    </row>
    <row r="2" spans="1:4" ht="18" customHeight="1">
      <c r="A2" s="93" t="s">
        <v>216</v>
      </c>
      <c r="B2" s="14"/>
      <c r="C2" s="38"/>
    </row>
    <row r="3" spans="1:4" ht="18.75" customHeight="1">
      <c r="A3" s="71" t="s">
        <v>92</v>
      </c>
      <c r="B3" s="14"/>
      <c r="C3" s="38"/>
    </row>
    <row r="4" spans="1:4" ht="13.5" customHeight="1">
      <c r="A4" s="14" t="s">
        <v>88</v>
      </c>
      <c r="B4" s="55"/>
    </row>
    <row r="5" spans="1:4" ht="112.9" customHeight="1">
      <c r="A5" s="56" t="s">
        <v>125</v>
      </c>
      <c r="B5" s="95">
        <v>6.1</v>
      </c>
      <c r="C5" s="23" t="s">
        <v>201</v>
      </c>
      <c r="D5" s="102"/>
    </row>
    <row r="6" spans="1:4" ht="20.25" customHeight="1">
      <c r="A6" s="71" t="s">
        <v>93</v>
      </c>
      <c r="B6" s="65"/>
      <c r="C6" s="69"/>
    </row>
    <row r="7" spans="1:4" ht="15.75" customHeight="1">
      <c r="A7" s="14" t="s">
        <v>94</v>
      </c>
      <c r="B7" s="65"/>
      <c r="C7" s="69"/>
    </row>
    <row r="8" spans="1:4" ht="65.25" customHeight="1">
      <c r="A8" s="82" t="s">
        <v>191</v>
      </c>
      <c r="B8" s="83">
        <f>(2000*(3.2*29*12))/1000000</f>
        <v>2.2272000000000003</v>
      </c>
      <c r="C8" s="197"/>
    </row>
    <row r="9" spans="1:4" ht="43.5" customHeight="1">
      <c r="A9" s="82" t="s">
        <v>120</v>
      </c>
      <c r="B9" s="61">
        <f>5*2000*25.8/1000000</f>
        <v>0.25800000000000001</v>
      </c>
      <c r="C9" s="198"/>
    </row>
    <row r="10" spans="1:4" ht="19.5" customHeight="1">
      <c r="A10" s="60" t="s">
        <v>21</v>
      </c>
      <c r="B10" s="62">
        <f>B8-B9</f>
        <v>1.9692000000000003</v>
      </c>
      <c r="C10" s="198"/>
    </row>
    <row r="11" spans="1:4" ht="19.5" customHeight="1">
      <c r="A11" s="14" t="s">
        <v>111</v>
      </c>
      <c r="B11" s="70"/>
      <c r="C11" s="97"/>
    </row>
    <row r="12" spans="1:4" ht="36" customHeight="1">
      <c r="A12" s="14" t="s">
        <v>97</v>
      </c>
      <c r="B12" s="14"/>
    </row>
    <row r="13" spans="1:4" ht="120" customHeight="1">
      <c r="A13" s="82" t="s">
        <v>190</v>
      </c>
      <c r="B13" s="62">
        <f>60*((1*47755+4*41159)-(1*47755+4*1.1*31119))/1000000</f>
        <v>1.6627439999999996</v>
      </c>
      <c r="C13" s="15" t="s">
        <v>182</v>
      </c>
    </row>
    <row r="14" spans="1:4" ht="32.25" customHeight="1">
      <c r="A14" s="82" t="s">
        <v>23</v>
      </c>
      <c r="B14" s="91">
        <f>((50*5)*(0.5*12*23.1))/1000000</f>
        <v>3.4650000000000007E-2</v>
      </c>
      <c r="C14" s="18" t="s">
        <v>96</v>
      </c>
    </row>
    <row r="15" spans="1:4" ht="19.5" hidden="1" customHeight="1">
      <c r="A15" s="60"/>
      <c r="B15" s="62"/>
      <c r="C15" s="97"/>
    </row>
    <row r="16" spans="1:4" ht="19.5" hidden="1" customHeight="1">
      <c r="A16" s="60"/>
      <c r="B16" s="62"/>
      <c r="C16" s="97"/>
    </row>
    <row r="17" spans="1:3" ht="19.5" hidden="1" customHeight="1">
      <c r="A17" s="60"/>
      <c r="B17" s="62"/>
      <c r="C17" s="97"/>
    </row>
    <row r="18" spans="1:3" ht="19.5" customHeight="1">
      <c r="A18" s="92" t="s">
        <v>98</v>
      </c>
      <c r="B18" s="75"/>
      <c r="C18" s="23"/>
    </row>
    <row r="19" spans="1:3" ht="14.25" customHeight="1">
      <c r="A19" s="42" t="s">
        <v>82</v>
      </c>
      <c r="B19"/>
      <c r="C19" s="17"/>
    </row>
    <row r="20" spans="1:3" ht="122.25" customHeight="1">
      <c r="A20" s="39" t="s">
        <v>100</v>
      </c>
      <c r="B20" s="77">
        <f>(500*(365*21))/1000000</f>
        <v>3.8325</v>
      </c>
      <c r="C20" s="99" t="s">
        <v>183</v>
      </c>
    </row>
    <row r="21" spans="1:3" ht="15.75" customHeight="1">
      <c r="A21" s="53" t="s">
        <v>19</v>
      </c>
      <c r="B21" s="53"/>
      <c r="C21" s="17"/>
    </row>
    <row r="22" spans="1:3" ht="12" customHeight="1">
      <c r="A22" s="53" t="s">
        <v>30</v>
      </c>
      <c r="B22" s="57">
        <f>(500*(365*69))/1000000</f>
        <v>12.592499999999999</v>
      </c>
      <c r="C22" s="17"/>
    </row>
    <row r="23" spans="1:3" ht="19.5" customHeight="1">
      <c r="A23" s="58" t="s">
        <v>21</v>
      </c>
      <c r="B23" s="103">
        <f>B22-B20</f>
        <v>8.76</v>
      </c>
      <c r="C23" s="17"/>
    </row>
    <row r="24" spans="1:3" ht="19.5" customHeight="1">
      <c r="A24" s="42" t="s">
        <v>140</v>
      </c>
      <c r="B24" s="52"/>
      <c r="C24" s="17"/>
    </row>
    <row r="25" spans="1:3" ht="80.25" customHeight="1">
      <c r="A25" s="79" t="s">
        <v>139</v>
      </c>
      <c r="B25" s="57">
        <f>(20*120*365)/1000000</f>
        <v>0.876</v>
      </c>
      <c r="C25" s="17" t="s">
        <v>115</v>
      </c>
    </row>
    <row r="26" spans="1:3" ht="16.5" customHeight="1">
      <c r="A26" s="79"/>
      <c r="B26" s="57"/>
      <c r="C26" s="17"/>
    </row>
    <row r="27" spans="1:3" ht="15" customHeight="1">
      <c r="A27" s="76" t="s">
        <v>19</v>
      </c>
      <c r="B27" s="57"/>
      <c r="C27" s="17"/>
    </row>
    <row r="28" spans="1:3" ht="19.5" customHeight="1">
      <c r="A28" s="76" t="s">
        <v>81</v>
      </c>
      <c r="B28" s="57">
        <f>(20*374.82*365)/1000000</f>
        <v>2.736186</v>
      </c>
      <c r="C28" s="17"/>
    </row>
    <row r="29" spans="1:3" ht="19.5" customHeight="1">
      <c r="A29" s="80" t="s">
        <v>21</v>
      </c>
      <c r="B29" s="63">
        <f>B28-B25</f>
        <v>1.8601860000000001</v>
      </c>
      <c r="C29" s="17"/>
    </row>
    <row r="30" spans="1:3" ht="27.75" customHeight="1">
      <c r="A30" s="14" t="s">
        <v>142</v>
      </c>
      <c r="B30" s="78"/>
      <c r="C30" s="17"/>
    </row>
    <row r="31" spans="1:3" ht="51" customHeight="1">
      <c r="A31" s="56" t="s">
        <v>184</v>
      </c>
      <c r="B31" s="90">
        <f>((20*700*12)+(20*41159)+(20*7308)+(20*36*700))/1000000</f>
        <v>1.64134</v>
      </c>
      <c r="C31" s="17" t="s">
        <v>141</v>
      </c>
    </row>
    <row r="32" spans="1:3" ht="19.5" customHeight="1">
      <c r="A32" s="56" t="s">
        <v>143</v>
      </c>
      <c r="B32" s="90">
        <f>(700*365*20)/1000000</f>
        <v>5.1100000000000003</v>
      </c>
      <c r="C32" s="17"/>
    </row>
    <row r="33" spans="1:3" ht="19.5" customHeight="1">
      <c r="A33" s="60" t="s">
        <v>21</v>
      </c>
      <c r="B33" s="62">
        <f>B32-B31</f>
        <v>3.4686600000000003</v>
      </c>
      <c r="C33" s="17"/>
    </row>
    <row r="34" spans="1:3" ht="19.5" customHeight="1">
      <c r="A34" s="110"/>
      <c r="B34" s="65"/>
      <c r="C34" s="17"/>
    </row>
    <row r="35" spans="1:3" ht="45.6" customHeight="1">
      <c r="A35" s="109" t="s">
        <v>154</v>
      </c>
      <c r="B35" s="65"/>
      <c r="C35" s="17"/>
    </row>
    <row r="36" spans="1:3" ht="49.5" customHeight="1">
      <c r="A36" s="14" t="s">
        <v>155</v>
      </c>
      <c r="B36" s="24"/>
      <c r="C36" s="17"/>
    </row>
    <row r="37" spans="1:3" ht="72.75" customHeight="1">
      <c r="A37" s="39" t="s">
        <v>138</v>
      </c>
      <c r="B37" s="61">
        <f>(613*(11*380))/1000000</f>
        <v>2.5623399999999998</v>
      </c>
      <c r="C37" s="17" t="s">
        <v>202</v>
      </c>
    </row>
    <row r="38" spans="1:3" ht="19.5" customHeight="1">
      <c r="A38" s="39"/>
      <c r="B38" s="61"/>
      <c r="C38" s="17"/>
    </row>
    <row r="39" spans="1:3" ht="19.5" customHeight="1">
      <c r="A39" s="60" t="s">
        <v>20</v>
      </c>
      <c r="B39" s="61"/>
      <c r="C39" s="17"/>
    </row>
    <row r="40" spans="1:3" ht="30" customHeight="1">
      <c r="A40" s="56" t="s">
        <v>29</v>
      </c>
      <c r="B40" s="61">
        <f>(380*(0.2*613*11))/1000000</f>
        <v>0.51246800000000003</v>
      </c>
      <c r="C40" s="14"/>
    </row>
    <row r="41" spans="1:3" ht="19.5" customHeight="1">
      <c r="A41" s="60" t="s">
        <v>21</v>
      </c>
      <c r="B41" s="62">
        <f>B37-B40</f>
        <v>2.0498719999999997</v>
      </c>
      <c r="C41" s="66"/>
    </row>
    <row r="42" spans="1:3" ht="19.5" customHeight="1">
      <c r="A42" s="71" t="s">
        <v>156</v>
      </c>
      <c r="B42" s="70"/>
      <c r="C42" s="14"/>
    </row>
    <row r="43" spans="1:3" ht="28.5" customHeight="1">
      <c r="A43" s="14" t="s">
        <v>91</v>
      </c>
      <c r="B43" s="65"/>
      <c r="C43" s="105"/>
    </row>
    <row r="44" spans="1:3" s="38" customFormat="1" ht="98.25" customHeight="1">
      <c r="A44" s="45" t="s">
        <v>175</v>
      </c>
      <c r="B44" s="62">
        <f>(4000*(2*12*29)/1000000)</f>
        <v>2.7839999999999998</v>
      </c>
      <c r="C44" s="23" t="s">
        <v>121</v>
      </c>
    </row>
    <row r="45" spans="1:3" ht="17.25" customHeight="1">
      <c r="A45" s="14" t="s">
        <v>89</v>
      </c>
      <c r="B45" s="14"/>
    </row>
    <row r="46" spans="1:3" ht="34.5" customHeight="1">
      <c r="A46" s="81" t="s">
        <v>163</v>
      </c>
      <c r="B46" s="68" t="s">
        <v>90</v>
      </c>
      <c r="C46" s="198" t="s">
        <v>207</v>
      </c>
    </row>
    <row r="47" spans="1:3" ht="45" customHeight="1">
      <c r="A47" s="82" t="s">
        <v>176</v>
      </c>
      <c r="B47" s="83">
        <f>((300*900*12)+(300*12*6*29))/1000000</f>
        <v>3.8664000000000001</v>
      </c>
      <c r="C47" s="198"/>
    </row>
    <row r="48" spans="1:3" ht="51" customHeight="1">
      <c r="A48" s="56" t="s">
        <v>164</v>
      </c>
      <c r="B48" s="83">
        <f>(29*(18+42)*12)*300/1000000</f>
        <v>6.2640000000000002</v>
      </c>
      <c r="C48" s="198"/>
    </row>
    <row r="49" spans="1:4" ht="21" customHeight="1">
      <c r="A49" s="84" t="s">
        <v>19</v>
      </c>
      <c r="B49" s="83">
        <f>B48-B47</f>
        <v>2.3976000000000002</v>
      </c>
      <c r="C49" s="198"/>
    </row>
    <row r="50" spans="1:4" ht="30" customHeight="1">
      <c r="A50" s="85" t="s">
        <v>177</v>
      </c>
      <c r="B50" s="83"/>
      <c r="C50" s="198"/>
    </row>
    <row r="51" spans="1:4">
      <c r="A51" s="84" t="s">
        <v>165</v>
      </c>
      <c r="B51" s="83">
        <f>(70*900*12)/1000000</f>
        <v>0.75600000000000001</v>
      </c>
      <c r="C51" s="198"/>
    </row>
    <row r="52" spans="1:4" ht="58.15" customHeight="1">
      <c r="A52" s="86" t="s">
        <v>193</v>
      </c>
      <c r="B52" s="83">
        <f>(1861*70)/1000000</f>
        <v>0.13027</v>
      </c>
      <c r="C52" s="198"/>
    </row>
    <row r="53" spans="1:4" s="16" customFormat="1" ht="15.75" customHeight="1">
      <c r="A53" s="86" t="s">
        <v>20</v>
      </c>
      <c r="B53" s="83">
        <f>B51-B52</f>
        <v>0.62573000000000001</v>
      </c>
      <c r="C53" s="198"/>
      <c r="D53" s="22"/>
    </row>
    <row r="54" spans="1:4" s="16" customFormat="1" ht="11.25" customHeight="1">
      <c r="A54" s="87"/>
      <c r="B54" s="88"/>
      <c r="C54" s="198"/>
    </row>
    <row r="55" spans="1:4" ht="17.25" customHeight="1">
      <c r="A55" s="87" t="s">
        <v>21</v>
      </c>
      <c r="B55" s="89">
        <f>B49-B53</f>
        <v>1.7718700000000003</v>
      </c>
      <c r="C55" s="198"/>
    </row>
    <row r="56" spans="1:4" ht="28.5" customHeight="1">
      <c r="A56" s="14" t="s">
        <v>25</v>
      </c>
      <c r="B56" s="14"/>
    </row>
    <row r="57" spans="1:4" ht="126.6" customHeight="1">
      <c r="A57" s="82" t="s">
        <v>203</v>
      </c>
      <c r="B57" s="89">
        <v>8.8000000000000007</v>
      </c>
      <c r="C57" s="15" t="s">
        <v>220</v>
      </c>
    </row>
    <row r="58" spans="1:4" ht="18.75" customHeight="1">
      <c r="A58" s="92" t="s">
        <v>157</v>
      </c>
      <c r="B58" s="108"/>
      <c r="C58" s="23"/>
    </row>
    <row r="59" spans="1:4" ht="59.25" customHeight="1">
      <c r="A59" s="73" t="s">
        <v>160</v>
      </c>
      <c r="B59" s="74"/>
      <c r="C59" s="23"/>
    </row>
    <row r="60" spans="1:4" ht="92.25" customHeight="1">
      <c r="A60" s="39" t="s">
        <v>179</v>
      </c>
      <c r="B60" s="96">
        <f>(0.25*2200)*(12*(1500-573)*0.35)/1000000</f>
        <v>2.1413700000000002</v>
      </c>
      <c r="C60" s="23" t="s">
        <v>161</v>
      </c>
    </row>
    <row r="61" spans="1:4" ht="47.25" customHeight="1">
      <c r="A61" s="73" t="s">
        <v>159</v>
      </c>
      <c r="B61" s="74"/>
      <c r="C61" s="23"/>
    </row>
    <row r="62" spans="1:4" ht="149.25" customHeight="1">
      <c r="A62" s="39" t="s">
        <v>195</v>
      </c>
      <c r="B62" s="96">
        <f>(0.23*7500)*(12*140)/1000000</f>
        <v>2.8980000000000001</v>
      </c>
      <c r="C62" s="23" t="s">
        <v>178</v>
      </c>
    </row>
    <row r="63" spans="1:4" ht="30.75" customHeight="1">
      <c r="A63" s="14" t="s">
        <v>204</v>
      </c>
      <c r="B63" s="59"/>
      <c r="C63" s="40"/>
    </row>
    <row r="64" spans="1:4" ht="86.25" customHeight="1">
      <c r="A64" s="39" t="s">
        <v>205</v>
      </c>
      <c r="B64" s="96">
        <f>(613*(105*11))/1000000</f>
        <v>0.70801499999999995</v>
      </c>
      <c r="C64" s="72" t="s">
        <v>221</v>
      </c>
    </row>
    <row r="65" spans="1:7" ht="25.5" customHeight="1">
      <c r="A65" s="43" t="s">
        <v>87</v>
      </c>
      <c r="B65" s="67"/>
      <c r="C65" s="44"/>
      <c r="D65"/>
      <c r="E65" s="101"/>
      <c r="F65" s="101"/>
      <c r="G65" s="101"/>
    </row>
    <row r="66" spans="1:7" ht="43.5" customHeight="1">
      <c r="A66" s="56" t="s">
        <v>122</v>
      </c>
      <c r="B66" s="62">
        <v>27</v>
      </c>
      <c r="C66" s="23" t="s">
        <v>119</v>
      </c>
      <c r="D66"/>
      <c r="E66"/>
    </row>
    <row r="67" spans="1:7" ht="23.25" customHeight="1">
      <c r="A67" s="93" t="s">
        <v>99</v>
      </c>
      <c r="B67" s="65"/>
      <c r="C67" s="23"/>
      <c r="D67"/>
      <c r="E67"/>
    </row>
    <row r="68" spans="1:7" ht="14.25" customHeight="1">
      <c r="A68" s="94" t="s">
        <v>212</v>
      </c>
      <c r="B68" s="54">
        <v>13.5</v>
      </c>
      <c r="C68" s="107"/>
      <c r="D68"/>
      <c r="E68"/>
    </row>
    <row r="69" spans="1:7" ht="15.75" customHeight="1">
      <c r="A69" s="94" t="s">
        <v>80</v>
      </c>
      <c r="B69" s="54">
        <f>B5+B10+B13+B14+B23+B29+B33+B41+B44+B55+B57</f>
        <v>39.261181999999998</v>
      </c>
      <c r="C69" s="132"/>
      <c r="D69" s="107"/>
      <c r="E69"/>
    </row>
    <row r="70" spans="1:7" ht="15.75" customHeight="1">
      <c r="A70" s="94" t="s">
        <v>192</v>
      </c>
      <c r="B70" s="54">
        <f>B68+B69</f>
        <v>52.761181999999998</v>
      </c>
      <c r="C70" s="132"/>
      <c r="D70" s="107"/>
      <c r="E70"/>
    </row>
    <row r="71" spans="1:7" ht="15.75" customHeight="1">
      <c r="A71" s="94" t="s">
        <v>162</v>
      </c>
      <c r="B71" s="54">
        <f>B60+B62+B64</f>
        <v>5.7473849999999995</v>
      </c>
      <c r="C71" s="132"/>
      <c r="D71" s="107"/>
      <c r="E71" s="107"/>
    </row>
    <row r="72" spans="1:7" ht="13.5" customHeight="1">
      <c r="A72" s="94" t="s">
        <v>87</v>
      </c>
      <c r="B72" s="54">
        <f>B66</f>
        <v>27</v>
      </c>
      <c r="C72" s="48"/>
      <c r="D72"/>
      <c r="E72" s="107"/>
    </row>
    <row r="73" spans="1:7">
      <c r="A73" s="94"/>
      <c r="B73" s="67"/>
      <c r="C73" s="48"/>
      <c r="D73" s="48"/>
    </row>
    <row r="74" spans="1:7">
      <c r="A74" s="49"/>
      <c r="B74" s="48"/>
      <c r="C74" s="136"/>
      <c r="D74"/>
      <c r="E74"/>
      <c r="F74"/>
    </row>
    <row r="75" spans="1:7">
      <c r="A75" s="49"/>
      <c r="B75" s="48"/>
      <c r="C75" s="136"/>
      <c r="D75"/>
      <c r="E75"/>
      <c r="F75"/>
    </row>
    <row r="76" spans="1:7">
      <c r="A76" s="47"/>
      <c r="B76" s="50"/>
      <c r="C76" s="136"/>
      <c r="D76"/>
      <c r="E76"/>
      <c r="F76"/>
    </row>
    <row r="77" spans="1:7">
      <c r="A77" s="47"/>
      <c r="B77" s="50"/>
      <c r="C77" s="136"/>
      <c r="D77"/>
      <c r="E77"/>
      <c r="F77"/>
    </row>
    <row r="78" spans="1:7">
      <c r="A78" s="47"/>
      <c r="B78" s="48"/>
      <c r="C78" s="46"/>
      <c r="D78"/>
      <c r="E78"/>
      <c r="F78" s="132"/>
    </row>
    <row r="79" spans="1:7">
      <c r="A79" s="47"/>
      <c r="B79" s="48"/>
      <c r="C79" s="138"/>
      <c r="D79"/>
      <c r="E79"/>
    </row>
    <row r="80" spans="1:7" ht="13.15" customHeight="1">
      <c r="D80" s="37"/>
    </row>
    <row r="81" spans="3:4" ht="15" customHeight="1">
      <c r="D81" s="139"/>
    </row>
    <row r="82" spans="3:4" ht="15.75" customHeight="1"/>
    <row r="83" spans="3:4" ht="17.45" customHeight="1">
      <c r="C83" s="51"/>
    </row>
  </sheetData>
  <mergeCells count="2">
    <mergeCell ref="C8:C10"/>
    <mergeCell ref="C46:C55"/>
  </mergeCells>
  <printOptions gridLines="1"/>
  <pageMargins left="0.11811023622047245" right="7.874015748031496E-2" top="0.35433070866141736" bottom="0.35433070866141736"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6"/>
  <sheetViews>
    <sheetView zoomScaleNormal="100" workbookViewId="0">
      <selection activeCell="E6" sqref="E6"/>
    </sheetView>
  </sheetViews>
  <sheetFormatPr defaultRowHeight="12.75"/>
  <cols>
    <col min="1" max="1" width="58.7109375" customWidth="1"/>
    <col min="2" max="2" width="10.7109375" customWidth="1"/>
    <col min="3" max="3" width="15.28515625" customWidth="1"/>
    <col min="4" max="4" width="47.42578125" customWidth="1"/>
  </cols>
  <sheetData>
    <row r="1" spans="1:5" ht="15">
      <c r="A1" s="140" t="s">
        <v>217</v>
      </c>
      <c r="B1" s="141"/>
      <c r="C1" s="142"/>
      <c r="D1" s="16"/>
    </row>
    <row r="2" spans="1:5" ht="15">
      <c r="A2" s="143" t="s">
        <v>218</v>
      </c>
      <c r="B2" s="141"/>
      <c r="C2" s="16"/>
      <c r="D2" s="16"/>
    </row>
    <row r="3" spans="1:5" ht="15">
      <c r="A3" s="140" t="s">
        <v>219</v>
      </c>
      <c r="B3" s="141"/>
      <c r="C3" s="16"/>
      <c r="D3" s="16"/>
    </row>
    <row r="4" spans="1:5" ht="45">
      <c r="A4" s="144" t="s">
        <v>93</v>
      </c>
      <c r="B4" s="145" t="s">
        <v>167</v>
      </c>
      <c r="C4" s="146" t="s">
        <v>211</v>
      </c>
      <c r="D4" s="147" t="s">
        <v>22</v>
      </c>
    </row>
    <row r="5" spans="1:5" ht="75.75" customHeight="1">
      <c r="A5" s="39" t="s">
        <v>188</v>
      </c>
      <c r="B5" s="76"/>
      <c r="C5" s="148">
        <f>((1000/30*41159))/1000000</f>
        <v>1.3719666666666668</v>
      </c>
      <c r="D5" s="72" t="s">
        <v>187</v>
      </c>
    </row>
    <row r="6" spans="1:5" ht="15">
      <c r="A6" s="149"/>
      <c r="B6" s="150"/>
      <c r="C6" s="151"/>
      <c r="D6" s="16"/>
    </row>
    <row r="7" spans="1:5" ht="15">
      <c r="A7" s="152" t="s">
        <v>98</v>
      </c>
      <c r="B7" s="150"/>
      <c r="C7" s="151"/>
      <c r="D7" s="16"/>
    </row>
    <row r="8" spans="1:5" ht="15">
      <c r="A8" s="153" t="s">
        <v>104</v>
      </c>
      <c r="B8" s="154"/>
      <c r="C8" s="154"/>
      <c r="D8" s="16"/>
    </row>
    <row r="9" spans="1:5" ht="33" customHeight="1">
      <c r="A9" s="155" t="s">
        <v>117</v>
      </c>
      <c r="B9" s="156">
        <v>-25</v>
      </c>
      <c r="C9" s="157">
        <f>(365*B9*B53)/1000000</f>
        <v>-3.4201958776515293</v>
      </c>
      <c r="D9" s="16"/>
    </row>
    <row r="10" spans="1:5" ht="60" customHeight="1">
      <c r="A10" s="155" t="s">
        <v>189</v>
      </c>
      <c r="B10" s="156">
        <v>25</v>
      </c>
      <c r="C10" s="157">
        <f>(B10*365*B54)/1000000</f>
        <v>4.104235053181835</v>
      </c>
      <c r="D10" s="16"/>
    </row>
    <row r="11" spans="1:5" ht="60.75" customHeight="1">
      <c r="A11" s="79" t="s">
        <v>168</v>
      </c>
      <c r="B11" s="158">
        <v>25</v>
      </c>
      <c r="C11" s="159">
        <f>C10+C9</f>
        <v>0.68403917553030569</v>
      </c>
      <c r="D11" s="16"/>
      <c r="E11" s="137"/>
    </row>
    <row r="12" spans="1:5" ht="46.5" customHeight="1">
      <c r="A12" s="155" t="s">
        <v>118</v>
      </c>
      <c r="B12" s="156">
        <v>-25</v>
      </c>
      <c r="C12" s="157">
        <f>(B12*365*500)/1000000</f>
        <v>-4.5625</v>
      </c>
      <c r="D12" s="16"/>
    </row>
    <row r="13" spans="1:5" ht="41.25" customHeight="1">
      <c r="A13" s="155" t="s">
        <v>169</v>
      </c>
      <c r="B13" s="156">
        <v>25</v>
      </c>
      <c r="C13" s="160">
        <f>(B13*1.2*(365*500))/1000000</f>
        <v>5.4749999999999996</v>
      </c>
      <c r="D13" s="16"/>
      <c r="E13" s="137"/>
    </row>
    <row r="14" spans="1:5" ht="60" customHeight="1">
      <c r="A14" s="79" t="s">
        <v>131</v>
      </c>
      <c r="B14" s="158">
        <v>25</v>
      </c>
      <c r="C14" s="159">
        <f>C12+C13</f>
        <v>0.91249999999999964</v>
      </c>
      <c r="D14" s="16"/>
    </row>
    <row r="15" spans="1:5" ht="65.25" customHeight="1">
      <c r="A15" s="155" t="s">
        <v>170</v>
      </c>
      <c r="B15" s="156">
        <v>-50</v>
      </c>
      <c r="C15" s="161">
        <f>(B15*(365*B88))/1000000</f>
        <v>-3.7156428276999178</v>
      </c>
      <c r="D15" s="72" t="s">
        <v>130</v>
      </c>
      <c r="E15" s="137"/>
    </row>
    <row r="16" spans="1:5" ht="45">
      <c r="A16" s="155" t="s">
        <v>171</v>
      </c>
      <c r="B16" s="156">
        <v>50</v>
      </c>
      <c r="C16" s="162">
        <f>(B16*(1.2*B88*365))/1000000</f>
        <v>4.4587713932399007</v>
      </c>
      <c r="D16" s="16"/>
      <c r="E16" s="137"/>
    </row>
    <row r="17" spans="1:5" ht="42.75" customHeight="1">
      <c r="A17" s="79" t="s">
        <v>116</v>
      </c>
      <c r="B17" s="158">
        <v>50</v>
      </c>
      <c r="C17" s="163">
        <f>C15+C16</f>
        <v>0.74312856553998285</v>
      </c>
      <c r="D17" s="16"/>
    </row>
    <row r="18" spans="1:5" ht="30" customHeight="1">
      <c r="A18" s="164" t="s">
        <v>153</v>
      </c>
      <c r="B18" s="156"/>
      <c r="C18" s="162"/>
      <c r="D18" s="16"/>
    </row>
    <row r="19" spans="1:5" ht="69" customHeight="1">
      <c r="A19" s="155" t="s">
        <v>148</v>
      </c>
      <c r="B19" s="156">
        <v>-50</v>
      </c>
      <c r="C19" s="162">
        <f>(B19*12*B72+B19*12*15*40+B19*B92*46)/1000000</f>
        <v>-1.8013999999999999</v>
      </c>
      <c r="D19" s="165"/>
      <c r="E19" s="104"/>
    </row>
    <row r="20" spans="1:5" ht="73.5" customHeight="1">
      <c r="A20" s="155" t="s">
        <v>166</v>
      </c>
      <c r="B20" s="156">
        <v>50</v>
      </c>
      <c r="C20" s="161">
        <f>(B20*365*150)/1000000</f>
        <v>2.7374999999999998</v>
      </c>
      <c r="D20" s="165"/>
      <c r="E20" s="104"/>
    </row>
    <row r="21" spans="1:5" ht="46.5" customHeight="1">
      <c r="A21" s="79" t="s">
        <v>113</v>
      </c>
      <c r="B21" s="158">
        <v>50</v>
      </c>
      <c r="C21" s="166">
        <f>C19+C20</f>
        <v>0.93609999999999993</v>
      </c>
      <c r="D21" s="16"/>
    </row>
    <row r="22" spans="1:5" ht="70.5" customHeight="1">
      <c r="A22" s="155" t="s">
        <v>147</v>
      </c>
      <c r="B22" s="156">
        <v>-300</v>
      </c>
      <c r="C22" s="162">
        <f>((B22*12*B71)+(B22*36*250)+(B22*15*40*12))/1000000</f>
        <v>-7.02</v>
      </c>
      <c r="D22" s="165"/>
      <c r="E22" s="104"/>
    </row>
    <row r="23" spans="1:5" ht="32.25" customHeight="1">
      <c r="A23" s="155" t="s">
        <v>135</v>
      </c>
      <c r="B23" s="156">
        <v>300</v>
      </c>
      <c r="C23" s="161">
        <f>(B23*365*100)/1000000</f>
        <v>10.95</v>
      </c>
      <c r="D23" s="165"/>
      <c r="E23" s="104"/>
    </row>
    <row r="24" spans="1:5" ht="30" customHeight="1">
      <c r="A24" s="79" t="s">
        <v>136</v>
      </c>
      <c r="B24" s="158">
        <v>300</v>
      </c>
      <c r="C24" s="159">
        <f>C22+C23</f>
        <v>3.9299999999999997</v>
      </c>
      <c r="D24" s="16"/>
    </row>
    <row r="25" spans="1:5" ht="80.25" customHeight="1">
      <c r="A25" s="155" t="s">
        <v>149</v>
      </c>
      <c r="B25" s="156">
        <v>-50</v>
      </c>
      <c r="C25" s="161">
        <f>(B25*12*B72+12*30*25*B25+B25*B92*46+B25*B73)/1000000</f>
        <v>-2.2222423791821564</v>
      </c>
      <c r="D25" s="165"/>
      <c r="E25" s="104"/>
    </row>
    <row r="26" spans="1:5" ht="43.5" customHeight="1">
      <c r="A26" s="155" t="s">
        <v>133</v>
      </c>
      <c r="B26" s="156">
        <v>50</v>
      </c>
      <c r="C26" s="157">
        <f>(B26*150*365)/1000000</f>
        <v>2.7374999999999998</v>
      </c>
      <c r="D26" s="165"/>
      <c r="E26" s="104"/>
    </row>
    <row r="27" spans="1:5" ht="40.5" customHeight="1">
      <c r="A27" s="79" t="s">
        <v>112</v>
      </c>
      <c r="B27" s="158">
        <v>50</v>
      </c>
      <c r="C27" s="159">
        <f>C25+C26</f>
        <v>0.51525762081784343</v>
      </c>
      <c r="D27" s="16"/>
    </row>
    <row r="28" spans="1:5" ht="84" customHeight="1">
      <c r="A28" s="155" t="s">
        <v>150</v>
      </c>
      <c r="B28" s="156">
        <v>-300</v>
      </c>
      <c r="C28" s="157">
        <f>((B28*12*B71)+(B28*46*B92)+(B28*30*25*12)+B73)/1000000</f>
        <v>-10.621783152416358</v>
      </c>
      <c r="D28" s="165"/>
      <c r="E28" s="104"/>
    </row>
    <row r="29" spans="1:5" ht="32.25" customHeight="1">
      <c r="A29" s="155" t="s">
        <v>151</v>
      </c>
      <c r="B29" s="156">
        <v>300</v>
      </c>
      <c r="C29" s="157">
        <f>(B29*120*365)/1000000</f>
        <v>13.14</v>
      </c>
      <c r="D29" s="16"/>
    </row>
    <row r="30" spans="1:5" ht="77.25" customHeight="1">
      <c r="A30" s="79" t="s">
        <v>134</v>
      </c>
      <c r="B30" s="158">
        <v>300</v>
      </c>
      <c r="C30" s="159">
        <f>C28+C29</f>
        <v>2.5182168475836431</v>
      </c>
      <c r="D30" s="16"/>
    </row>
    <row r="31" spans="1:5" ht="77.25" customHeight="1">
      <c r="A31" s="167"/>
      <c r="B31" s="168"/>
      <c r="C31" s="169"/>
      <c r="D31" s="16"/>
    </row>
    <row r="32" spans="1:5" ht="67.150000000000006" customHeight="1">
      <c r="A32" s="167"/>
      <c r="B32" s="168"/>
      <c r="C32" s="169"/>
      <c r="D32" s="16"/>
    </row>
    <row r="33" spans="1:7" ht="21.75" customHeight="1">
      <c r="A33" s="170" t="s">
        <v>105</v>
      </c>
      <c r="B33" s="73"/>
      <c r="C33" s="147"/>
      <c r="D33" s="16"/>
    </row>
    <row r="34" spans="1:7" ht="27" customHeight="1">
      <c r="A34" s="171" t="s">
        <v>31</v>
      </c>
      <c r="B34" s="172"/>
      <c r="C34" s="16"/>
      <c r="D34" s="16"/>
    </row>
    <row r="35" spans="1:7" ht="133.5" customHeight="1">
      <c r="A35" s="173" t="s">
        <v>126</v>
      </c>
      <c r="B35" s="76" t="s">
        <v>127</v>
      </c>
      <c r="C35" s="174">
        <v>6</v>
      </c>
      <c r="D35" s="175" t="s">
        <v>152</v>
      </c>
    </row>
    <row r="36" spans="1:7" ht="31.5" customHeight="1">
      <c r="A36" s="176" t="s">
        <v>95</v>
      </c>
      <c r="B36" s="177"/>
      <c r="C36" s="178"/>
      <c r="D36" s="179"/>
    </row>
    <row r="37" spans="1:7" s="41" customFormat="1" ht="30">
      <c r="A37" s="180" t="s">
        <v>32</v>
      </c>
      <c r="B37" s="147"/>
      <c r="C37" s="16"/>
      <c r="D37" s="179"/>
    </row>
    <row r="38" spans="1:7" ht="28.5" customHeight="1">
      <c r="A38" s="173" t="s">
        <v>172</v>
      </c>
      <c r="B38" s="76">
        <v>10000</v>
      </c>
      <c r="C38" s="80">
        <f>(B38*150)/1000000</f>
        <v>1.5</v>
      </c>
      <c r="D38" s="16"/>
    </row>
    <row r="39" spans="1:7" s="98" customFormat="1" ht="15">
      <c r="A39" s="181" t="s">
        <v>106</v>
      </c>
      <c r="B39" s="182"/>
      <c r="C39" s="182"/>
      <c r="D39" s="182"/>
    </row>
    <row r="40" spans="1:7" ht="138" customHeight="1">
      <c r="A40" s="173" t="s">
        <v>173</v>
      </c>
      <c r="B40" s="76">
        <v>300</v>
      </c>
      <c r="C40" s="80">
        <f>(B40*500*12)/1000000</f>
        <v>1.8</v>
      </c>
      <c r="D40" s="72" t="s">
        <v>174</v>
      </c>
    </row>
    <row r="41" spans="1:7" ht="38.25" customHeight="1">
      <c r="A41" s="183"/>
      <c r="B41" s="184"/>
      <c r="C41" s="185"/>
      <c r="D41" s="72"/>
    </row>
    <row r="42" spans="1:7" ht="38.25" customHeight="1">
      <c r="A42" s="183"/>
      <c r="B42" s="184"/>
      <c r="C42" s="185"/>
      <c r="D42" s="72"/>
    </row>
    <row r="43" spans="1:7" ht="24" customHeight="1">
      <c r="A43" s="186" t="s">
        <v>114</v>
      </c>
      <c r="B43" s="16"/>
      <c r="C43" s="16"/>
      <c r="D43" s="16"/>
      <c r="G43" s="46"/>
    </row>
    <row r="44" spans="1:7" ht="75.75" customHeight="1">
      <c r="A44" s="187" t="s">
        <v>185</v>
      </c>
      <c r="B44" s="76">
        <v>180</v>
      </c>
      <c r="C44" s="174">
        <f>(B44*150*95)/1000000</f>
        <v>2.5649999999999999</v>
      </c>
      <c r="D44" s="72" t="s">
        <v>186</v>
      </c>
    </row>
    <row r="45" spans="1:7" s="42" customFormat="1" ht="22.5" customHeight="1">
      <c r="A45" s="188" t="s">
        <v>123</v>
      </c>
      <c r="B45" s="177"/>
      <c r="C45" s="73"/>
      <c r="D45" s="147"/>
    </row>
    <row r="46" spans="1:7" ht="45" customHeight="1">
      <c r="A46" s="187" t="s">
        <v>128</v>
      </c>
      <c r="B46" s="189">
        <f>0.8*B44</f>
        <v>144</v>
      </c>
      <c r="C46" s="190">
        <f>(0.8*B44*160*2*25)/1000000</f>
        <v>1.1519999999999999</v>
      </c>
      <c r="D46" s="72" t="s">
        <v>129</v>
      </c>
    </row>
    <row r="47" spans="1:7" ht="22.5" customHeight="1">
      <c r="A47" s="191"/>
      <c r="B47" s="192"/>
      <c r="C47" s="193"/>
      <c r="D47" s="72"/>
    </row>
    <row r="48" spans="1:7" ht="15">
      <c r="A48" s="80" t="s">
        <v>124</v>
      </c>
      <c r="B48" s="194"/>
      <c r="C48" s="195">
        <f>C5+C11+C14+C17+C21+C24+C27+C30+C35+C38+C40+C44+C46</f>
        <v>24.628208876138444</v>
      </c>
      <c r="D48" s="16"/>
    </row>
    <row r="49" spans="1:5">
      <c r="A49" s="41"/>
    </row>
    <row r="50" spans="1:5">
      <c r="A50" s="122" t="s">
        <v>33</v>
      </c>
      <c r="B50" s="120"/>
      <c r="C50" s="121"/>
      <c r="D50" s="41"/>
    </row>
    <row r="51" spans="1:5">
      <c r="A51" s="123" t="s">
        <v>34</v>
      </c>
      <c r="B51" s="111">
        <v>167280000</v>
      </c>
      <c r="C51" s="124"/>
      <c r="D51" s="41"/>
    </row>
    <row r="52" spans="1:5">
      <c r="A52" s="123" t="s">
        <v>35</v>
      </c>
      <c r="B52" s="111">
        <v>446299</v>
      </c>
      <c r="C52" s="124"/>
      <c r="D52" s="41"/>
    </row>
    <row r="53" spans="1:5">
      <c r="A53" s="123" t="s">
        <v>107</v>
      </c>
      <c r="B53" s="112">
        <f>B51/B52</f>
        <v>374.81598659194844</v>
      </c>
      <c r="C53" s="125"/>
      <c r="D53" s="41"/>
    </row>
    <row r="54" spans="1:5">
      <c r="A54" s="123" t="s">
        <v>108</v>
      </c>
      <c r="B54" s="112">
        <f>1.2*B53</f>
        <v>449.77918391033813</v>
      </c>
      <c r="C54" s="124"/>
      <c r="D54" s="41"/>
    </row>
    <row r="55" spans="1:5">
      <c r="A55" s="123" t="s">
        <v>36</v>
      </c>
      <c r="B55" s="112">
        <v>121.1</v>
      </c>
      <c r="C55" s="124"/>
      <c r="D55" s="41"/>
      <c r="E55" s="46"/>
    </row>
    <row r="56" spans="1:5">
      <c r="A56" s="123" t="s">
        <v>109</v>
      </c>
      <c r="B56" s="112">
        <v>127.6</v>
      </c>
      <c r="C56" s="124"/>
      <c r="D56" s="41"/>
      <c r="E56" s="46"/>
    </row>
    <row r="57" spans="1:5">
      <c r="A57" s="123" t="s">
        <v>37</v>
      </c>
      <c r="B57" s="112">
        <v>129</v>
      </c>
      <c r="C57" s="125"/>
      <c r="D57" s="41"/>
    </row>
    <row r="58" spans="1:5">
      <c r="A58" s="123" t="s">
        <v>38</v>
      </c>
      <c r="B58" s="112">
        <v>125</v>
      </c>
      <c r="C58" s="124"/>
      <c r="D58" s="41"/>
      <c r="E58" s="46"/>
    </row>
    <row r="59" spans="1:5">
      <c r="A59" s="123" t="s">
        <v>39</v>
      </c>
      <c r="B59" s="112">
        <v>127.2</v>
      </c>
      <c r="C59" s="125"/>
      <c r="D59" s="41"/>
    </row>
    <row r="60" spans="1:5">
      <c r="A60" s="123" t="s">
        <v>40</v>
      </c>
      <c r="B60" s="112">
        <v>128.69999999999999</v>
      </c>
      <c r="C60" s="124"/>
      <c r="D60" s="41"/>
      <c r="E60" s="46"/>
    </row>
    <row r="61" spans="1:5">
      <c r="A61" s="123" t="s">
        <v>41</v>
      </c>
      <c r="B61" s="112">
        <v>129.30000000000001</v>
      </c>
      <c r="C61" s="124"/>
      <c r="D61" s="41"/>
      <c r="E61" s="46"/>
    </row>
    <row r="62" spans="1:5">
      <c r="A62" s="123" t="s">
        <v>42</v>
      </c>
      <c r="B62" s="112">
        <v>116.6</v>
      </c>
      <c r="C62" s="125"/>
      <c r="D62" s="41"/>
    </row>
    <row r="63" spans="1:5">
      <c r="A63" s="123" t="s">
        <v>43</v>
      </c>
      <c r="B63" s="112">
        <v>120.4</v>
      </c>
      <c r="C63" s="118"/>
      <c r="D63" s="41"/>
    </row>
    <row r="64" spans="1:5" ht="12" customHeight="1">
      <c r="A64" s="126" t="s">
        <v>110</v>
      </c>
      <c r="B64" s="113"/>
      <c r="C64" s="196" t="s">
        <v>132</v>
      </c>
      <c r="D64" s="41"/>
    </row>
    <row r="65" spans="1:4">
      <c r="A65" s="127" t="s">
        <v>44</v>
      </c>
      <c r="B65" s="111">
        <v>128</v>
      </c>
      <c r="C65" s="118">
        <v>131</v>
      </c>
      <c r="D65" s="41"/>
    </row>
    <row r="66" spans="1:4">
      <c r="A66" s="127" t="s">
        <v>45</v>
      </c>
      <c r="B66" s="111">
        <v>1054</v>
      </c>
      <c r="C66" s="118">
        <v>735</v>
      </c>
      <c r="D66" s="106"/>
    </row>
    <row r="67" spans="1:4">
      <c r="A67" s="127" t="s">
        <v>46</v>
      </c>
      <c r="B67" s="111">
        <v>118</v>
      </c>
      <c r="C67" s="118">
        <v>78</v>
      </c>
      <c r="D67" s="41"/>
    </row>
    <row r="68" spans="1:4">
      <c r="A68" s="127" t="s">
        <v>47</v>
      </c>
      <c r="B68" s="111">
        <v>31</v>
      </c>
      <c r="C68" s="118">
        <f>15+1+2</f>
        <v>18</v>
      </c>
      <c r="D68" s="41"/>
    </row>
    <row r="69" spans="1:4">
      <c r="A69" s="127" t="s">
        <v>48</v>
      </c>
      <c r="B69" s="111">
        <f>SUM(B65:B68)</f>
        <v>1331</v>
      </c>
      <c r="C69" s="118">
        <f>SUM(C65:C68)</f>
        <v>962</v>
      </c>
      <c r="D69" s="41"/>
    </row>
    <row r="70" spans="1:4">
      <c r="A70" s="127" t="s">
        <v>49</v>
      </c>
      <c r="B70" s="111">
        <v>6300</v>
      </c>
      <c r="C70" s="118">
        <v>7252</v>
      </c>
      <c r="D70" s="41"/>
    </row>
    <row r="71" spans="1:4">
      <c r="A71" s="127" t="s">
        <v>145</v>
      </c>
      <c r="B71" s="111">
        <v>600</v>
      </c>
      <c r="C71" s="118"/>
      <c r="D71" s="41"/>
    </row>
    <row r="72" spans="1:4">
      <c r="A72" s="127" t="s">
        <v>146</v>
      </c>
      <c r="B72" s="111">
        <v>800</v>
      </c>
      <c r="C72" s="118"/>
      <c r="D72" s="41"/>
    </row>
    <row r="73" spans="1:4">
      <c r="A73" s="127" t="s">
        <v>50</v>
      </c>
      <c r="B73" s="112">
        <f>5339796/807</f>
        <v>6616.8475836431226</v>
      </c>
      <c r="C73" s="118"/>
      <c r="D73" s="41"/>
    </row>
    <row r="74" spans="1:4">
      <c r="A74" s="127" t="s">
        <v>213</v>
      </c>
      <c r="B74" s="112">
        <v>30</v>
      </c>
      <c r="C74" s="118"/>
      <c r="D74" s="41"/>
    </row>
    <row r="75" spans="1:4">
      <c r="A75" s="127" t="s">
        <v>51</v>
      </c>
      <c r="B75" s="111">
        <v>88</v>
      </c>
      <c r="C75" s="118"/>
      <c r="D75" s="41"/>
    </row>
    <row r="76" spans="1:4">
      <c r="A76" s="127" t="s">
        <v>52</v>
      </c>
      <c r="B76" s="112">
        <f>47972/365</f>
        <v>131.43013698630136</v>
      </c>
      <c r="C76" s="118"/>
      <c r="D76" s="41"/>
    </row>
    <row r="77" spans="1:4">
      <c r="A77" s="127" t="s">
        <v>53</v>
      </c>
      <c r="B77" s="112">
        <f>B76*365</f>
        <v>47972</v>
      </c>
      <c r="C77" s="118"/>
      <c r="D77" s="41"/>
    </row>
    <row r="78" spans="1:4">
      <c r="A78" s="127" t="s">
        <v>54</v>
      </c>
      <c r="B78" s="112">
        <f>4900483/59658</f>
        <v>82.142931375507061</v>
      </c>
      <c r="C78" s="118"/>
      <c r="D78" s="41"/>
    </row>
    <row r="79" spans="1:4">
      <c r="A79" s="127" t="s">
        <v>55</v>
      </c>
      <c r="B79" s="112">
        <v>21</v>
      </c>
      <c r="C79" s="118"/>
      <c r="D79" s="41"/>
    </row>
    <row r="80" spans="1:4">
      <c r="A80" s="127" t="s">
        <v>56</v>
      </c>
      <c r="B80" s="111">
        <v>1548</v>
      </c>
      <c r="C80" s="118"/>
      <c r="D80" s="41"/>
    </row>
    <row r="81" spans="1:4">
      <c r="A81" s="127" t="s">
        <v>57</v>
      </c>
      <c r="B81" s="112">
        <v>69</v>
      </c>
      <c r="C81" s="118"/>
      <c r="D81" s="41"/>
    </row>
    <row r="82" spans="1:4">
      <c r="A82" s="127" t="s">
        <v>58</v>
      </c>
      <c r="B82" s="111">
        <v>2006</v>
      </c>
      <c r="C82" s="118"/>
      <c r="D82" s="41"/>
    </row>
    <row r="83" spans="1:4">
      <c r="A83" s="123" t="s">
        <v>59</v>
      </c>
      <c r="B83" s="114">
        <v>121.3</v>
      </c>
      <c r="C83" s="119"/>
      <c r="D83" s="41"/>
    </row>
    <row r="84" spans="1:4">
      <c r="A84" s="123" t="s">
        <v>60</v>
      </c>
      <c r="B84" s="114">
        <v>127.8</v>
      </c>
      <c r="C84" s="119"/>
      <c r="D84" s="41"/>
    </row>
    <row r="85" spans="1:4">
      <c r="A85" s="123" t="s">
        <v>61</v>
      </c>
      <c r="B85" s="114">
        <v>129.30000000000001</v>
      </c>
      <c r="C85" s="119"/>
      <c r="D85" s="41"/>
    </row>
    <row r="86" spans="1:4">
      <c r="A86" s="123" t="s">
        <v>62</v>
      </c>
      <c r="B86" s="114">
        <v>191</v>
      </c>
      <c r="C86" s="119"/>
      <c r="D86" s="41"/>
    </row>
    <row r="87" spans="1:4">
      <c r="A87" s="128" t="s">
        <v>63</v>
      </c>
      <c r="B87" s="114">
        <f>B84*B86/B83</f>
        <v>201.23495465787303</v>
      </c>
      <c r="C87" s="119"/>
      <c r="D87" s="41"/>
    </row>
    <row r="88" spans="1:4">
      <c r="A88" s="128" t="s">
        <v>64</v>
      </c>
      <c r="B88" s="114">
        <f>B85/B83*B86</f>
        <v>203.59686727122835</v>
      </c>
      <c r="C88" s="119"/>
      <c r="D88" s="41"/>
    </row>
    <row r="89" spans="1:4">
      <c r="A89" s="128" t="s">
        <v>65</v>
      </c>
      <c r="B89" s="114">
        <v>450</v>
      </c>
      <c r="C89" s="119" t="s">
        <v>66</v>
      </c>
      <c r="D89" s="41"/>
    </row>
    <row r="90" spans="1:4">
      <c r="A90" s="128" t="s">
        <v>67</v>
      </c>
      <c r="B90" s="114">
        <v>600</v>
      </c>
      <c r="C90" s="119"/>
      <c r="D90" s="41"/>
    </row>
    <row r="91" spans="1:4">
      <c r="A91" s="128" t="s">
        <v>214</v>
      </c>
      <c r="B91" s="114">
        <v>1300</v>
      </c>
      <c r="C91" s="119" t="s">
        <v>102</v>
      </c>
      <c r="D91" s="41"/>
    </row>
    <row r="92" spans="1:4">
      <c r="A92" s="129" t="s">
        <v>101</v>
      </c>
      <c r="B92" s="114">
        <v>418</v>
      </c>
      <c r="C92" s="119" t="s">
        <v>102</v>
      </c>
      <c r="D92" s="41"/>
    </row>
    <row r="93" spans="1:4">
      <c r="A93" s="129" t="s">
        <v>144</v>
      </c>
      <c r="B93" s="114">
        <v>592</v>
      </c>
      <c r="C93" s="119"/>
      <c r="D93" s="41"/>
    </row>
    <row r="94" spans="1:4">
      <c r="A94" s="129" t="s">
        <v>103</v>
      </c>
      <c r="B94" s="114">
        <v>771</v>
      </c>
      <c r="C94" s="119" t="s">
        <v>102</v>
      </c>
      <c r="D94" s="41"/>
    </row>
    <row r="95" spans="1:4">
      <c r="A95" s="130" t="s">
        <v>68</v>
      </c>
      <c r="B95" s="114">
        <v>185</v>
      </c>
      <c r="C95" s="119"/>
      <c r="D95" s="41"/>
    </row>
    <row r="96" spans="1:4">
      <c r="A96" s="130" t="s">
        <v>69</v>
      </c>
      <c r="B96" s="115">
        <f>B59/B58*185</f>
        <v>188.256</v>
      </c>
      <c r="C96" s="131"/>
      <c r="D96" s="41"/>
    </row>
    <row r="97" spans="1:4">
      <c r="A97" s="130" t="s">
        <v>70</v>
      </c>
      <c r="B97" s="115">
        <v>161</v>
      </c>
      <c r="C97" s="131"/>
      <c r="D97" s="41"/>
    </row>
    <row r="98" spans="1:4">
      <c r="A98" s="130" t="s">
        <v>71</v>
      </c>
      <c r="B98" s="115">
        <v>77</v>
      </c>
      <c r="C98" s="131"/>
      <c r="D98" s="41"/>
    </row>
    <row r="99" spans="1:4">
      <c r="A99" s="130" t="s">
        <v>72</v>
      </c>
      <c r="B99" s="115">
        <v>163</v>
      </c>
      <c r="C99" s="131"/>
      <c r="D99" s="41"/>
    </row>
    <row r="100" spans="1:4">
      <c r="A100" s="130" t="s">
        <v>73</v>
      </c>
      <c r="B100" s="115">
        <f>1744935/42440566*100</f>
        <v>4.1114790976161819</v>
      </c>
      <c r="C100" s="131"/>
      <c r="D100" s="41"/>
    </row>
    <row r="101" spans="1:4">
      <c r="A101" s="130" t="s">
        <v>74</v>
      </c>
      <c r="B101" s="115">
        <v>500</v>
      </c>
      <c r="C101" s="131"/>
      <c r="D101" s="41"/>
    </row>
    <row r="102" spans="1:4">
      <c r="A102" s="130" t="s">
        <v>75</v>
      </c>
      <c r="B102" s="116">
        <v>242</v>
      </c>
      <c r="C102" s="131"/>
      <c r="D102" s="41"/>
    </row>
    <row r="103" spans="1:4">
      <c r="A103" s="130" t="s">
        <v>76</v>
      </c>
      <c r="B103" s="116">
        <v>178</v>
      </c>
      <c r="C103" s="131"/>
      <c r="D103" s="41"/>
    </row>
    <row r="104" spans="1:4">
      <c r="A104" s="130" t="s">
        <v>77</v>
      </c>
      <c r="B104" s="116">
        <v>731674000</v>
      </c>
      <c r="C104" s="131"/>
      <c r="D104" s="41"/>
    </row>
    <row r="105" spans="1:4">
      <c r="A105" s="130" t="s">
        <v>78</v>
      </c>
      <c r="B105" s="116">
        <v>3681553</v>
      </c>
      <c r="C105" s="131"/>
      <c r="D105" s="41"/>
    </row>
    <row r="106" spans="1:4">
      <c r="A106" s="130" t="s">
        <v>79</v>
      </c>
      <c r="B106" s="117">
        <f>B104/B105</f>
        <v>198.74058583429331</v>
      </c>
      <c r="C106" s="131"/>
      <c r="D106" s="41"/>
    </row>
  </sheetData>
  <printOptions gridLines="1"/>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3</vt:i4>
      </vt:variant>
      <vt:variant>
        <vt:lpstr>Nimetyt alueet</vt:lpstr>
      </vt:variant>
      <vt:variant>
        <vt:i4>1</vt:i4>
      </vt:variant>
    </vt:vector>
  </HeadingPairs>
  <TitlesOfParts>
    <vt:vector size="4" baseType="lpstr">
      <vt:lpstr>Iäkkäiden kulj.palv.säästöt</vt:lpstr>
      <vt:lpstr>Muut säästöt</vt:lpstr>
      <vt:lpstr>lisämenot</vt:lpstr>
      <vt:lpstr>'Muut säästöt'!Tulostusotsikot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Huhta Jaana STM</dc:creator>
  <cp:lastModifiedBy>Vuori Anne STM</cp:lastModifiedBy>
  <cp:lastPrinted>2017-05-17T07:53:10Z</cp:lastPrinted>
  <dcterms:created xsi:type="dcterms:W3CDTF">2015-09-02T08:08:06Z</dcterms:created>
  <dcterms:modified xsi:type="dcterms:W3CDTF">2017-05-17T11:02:28Z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-1476853371</vt:i4>
  </property>
  <property fmtid="{D5CDD505-2E9C-101B-9397-08002B2CF9AE}" pid="3" name="_NewReviewCycle">
    <vt:lpwstr/>
  </property>
  <property fmtid="{D5CDD505-2E9C-101B-9397-08002B2CF9AE}" pid="4" name="_EmailSubject">
    <vt:lpwstr>Verkkosivuille laitettavaksi</vt:lpwstr>
  </property>
  <property fmtid="{D5CDD505-2E9C-101B-9397-08002B2CF9AE}" pid="5" name="_AuthorEmail">
    <vt:lpwstr>anne.vuori@stm.fi</vt:lpwstr>
  </property>
  <property fmtid="{D5CDD505-2E9C-101B-9397-08002B2CF9AE}" pid="6" name="_AuthorEmailDisplayName">
    <vt:lpwstr>Vuori Anne (STM)</vt:lpwstr>
  </property>
  <property fmtid="{D5CDD505-2E9C-101B-9397-08002B2CF9AE}" pid="7" name="_PreviousAdHocReviewCycleID">
    <vt:i4>483668469</vt:i4>
  </property>
</Properties>
</file>